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https://progresschangeactionlab-my.sharepoint.com/personal/florian_progresschange_org/Documents/PROGRESS &amp; CHANGE PARTNERSHIPS/COMMUNICATIONS/Notes from the Faultline/Dispatches/Dispatch 2 — Sept 2026 (Renewed leadership)/"/>
    </mc:Choice>
  </mc:AlternateContent>
  <xr:revisionPtr revIDLastSave="5" documentId="11_7335D5FF7CDF59BB007595AC718C8D90016B5C27" xr6:coauthVersionLast="47" xr6:coauthVersionMax="47" xr10:uidLastSave="{18FAFC2F-2ADD-574F-A9C6-C077378F8813}"/>
  <bookViews>
    <workbookView xWindow="0" yWindow="600" windowWidth="29460" windowHeight="25160" tabRatio="500" activeTab="2" xr2:uid="{00000000-000D-0000-FFFF-FFFF00000000}"/>
  </bookViews>
  <sheets>
    <sheet name="Intermediate powers" sheetId="2" r:id="rId1"/>
    <sheet name="Selection" sheetId="3" r:id="rId2"/>
    <sheet name="0.01 per cent pledge" sheetId="4" r:id="rId3"/>
  </sheets>
  <definedNames>
    <definedName name="_xlnm._FilterDatabase" localSheetId="2" hidden="1">'0.01 per cent pledge'!$A$5:$M$88</definedName>
    <definedName name="_xlnm._FilterDatabase" localSheetId="0" hidden="1">'Intermediate powers'!$A$7:$G$58</definedName>
    <definedName name="_xlnm._FilterDatabase" localSheetId="1" hidden="1">Selection!$A$7:$J$81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H90" i="4" l="1"/>
  <c r="M88" i="4"/>
  <c r="L88" i="4"/>
  <c r="K88" i="4"/>
  <c r="J88" i="4"/>
  <c r="I88" i="4"/>
  <c r="G88" i="4"/>
  <c r="L87" i="4"/>
  <c r="K87" i="4"/>
  <c r="J87" i="4"/>
  <c r="I87" i="4"/>
  <c r="M87" i="4" s="1"/>
  <c r="G87" i="4"/>
  <c r="M86" i="4"/>
  <c r="L86" i="4"/>
  <c r="K86" i="4"/>
  <c r="J86" i="4"/>
  <c r="I86" i="4"/>
  <c r="G86" i="4"/>
  <c r="L85" i="4"/>
  <c r="K85" i="4"/>
  <c r="J85" i="4"/>
  <c r="I85" i="4"/>
  <c r="M85" i="4" s="1"/>
  <c r="G85" i="4"/>
  <c r="M84" i="4"/>
  <c r="L84" i="4"/>
  <c r="K84" i="4"/>
  <c r="J84" i="4"/>
  <c r="I84" i="4"/>
  <c r="G84" i="4"/>
  <c r="M83" i="4"/>
  <c r="L83" i="4"/>
  <c r="K83" i="4"/>
  <c r="I83" i="4"/>
  <c r="G83" i="4"/>
  <c r="J83" i="4" s="1"/>
  <c r="L82" i="4"/>
  <c r="K82" i="4"/>
  <c r="J82" i="4"/>
  <c r="I82" i="4"/>
  <c r="M82" i="4" s="1"/>
  <c r="G82" i="4"/>
  <c r="M81" i="4"/>
  <c r="L81" i="4"/>
  <c r="K81" i="4"/>
  <c r="J81" i="4"/>
  <c r="I81" i="4"/>
  <c r="G81" i="4"/>
  <c r="M80" i="4"/>
  <c r="L80" i="4"/>
  <c r="K80" i="4"/>
  <c r="I80" i="4"/>
  <c r="G80" i="4"/>
  <c r="J80" i="4" s="1"/>
  <c r="L79" i="4"/>
  <c r="K79" i="4"/>
  <c r="I79" i="4"/>
  <c r="M79" i="4" s="1"/>
  <c r="G79" i="4"/>
  <c r="J79" i="4" s="1"/>
  <c r="M78" i="4"/>
  <c r="L78" i="4"/>
  <c r="K78" i="4"/>
  <c r="J78" i="4"/>
  <c r="I78" i="4"/>
  <c r="G78" i="4"/>
  <c r="L77" i="4"/>
  <c r="K77" i="4"/>
  <c r="I77" i="4"/>
  <c r="M77" i="4" s="1"/>
  <c r="G77" i="4"/>
  <c r="J77" i="4" s="1"/>
  <c r="M76" i="4"/>
  <c r="L76" i="4"/>
  <c r="K76" i="4"/>
  <c r="J76" i="4"/>
  <c r="I76" i="4"/>
  <c r="G76" i="4"/>
  <c r="M75" i="4"/>
  <c r="L75" i="4"/>
  <c r="K75" i="4"/>
  <c r="I75" i="4"/>
  <c r="G75" i="4"/>
  <c r="J75" i="4" s="1"/>
  <c r="L74" i="4"/>
  <c r="K74" i="4"/>
  <c r="I74" i="4"/>
  <c r="M74" i="4" s="1"/>
  <c r="G74" i="4"/>
  <c r="J74" i="4" s="1"/>
  <c r="M73" i="4"/>
  <c r="L73" i="4"/>
  <c r="K73" i="4"/>
  <c r="J73" i="4"/>
  <c r="I73" i="4"/>
  <c r="G73" i="4"/>
  <c r="L72" i="4"/>
  <c r="K72" i="4"/>
  <c r="I72" i="4"/>
  <c r="M72" i="4" s="1"/>
  <c r="G72" i="4"/>
  <c r="J72" i="4" s="1"/>
  <c r="M71" i="4"/>
  <c r="L71" i="4"/>
  <c r="K71" i="4"/>
  <c r="J71" i="4"/>
  <c r="I71" i="4"/>
  <c r="G71" i="4"/>
  <c r="M70" i="4"/>
  <c r="L70" i="4"/>
  <c r="K70" i="4"/>
  <c r="I70" i="4"/>
  <c r="G70" i="4"/>
  <c r="J70" i="4" s="1"/>
  <c r="L69" i="4"/>
  <c r="K69" i="4"/>
  <c r="I69" i="4"/>
  <c r="M69" i="4" s="1"/>
  <c r="G69" i="4"/>
  <c r="J69" i="4" s="1"/>
  <c r="M68" i="4"/>
  <c r="L68" i="4"/>
  <c r="K68" i="4"/>
  <c r="J68" i="4"/>
  <c r="I68" i="4"/>
  <c r="G68" i="4"/>
  <c r="L67" i="4"/>
  <c r="K67" i="4"/>
  <c r="J67" i="4"/>
  <c r="I67" i="4"/>
  <c r="M67" i="4" s="1"/>
  <c r="G67" i="4"/>
  <c r="M66" i="4"/>
  <c r="L66" i="4"/>
  <c r="K66" i="4"/>
  <c r="J66" i="4"/>
  <c r="I66" i="4"/>
  <c r="G66" i="4"/>
  <c r="M65" i="4"/>
  <c r="L65" i="4"/>
  <c r="K65" i="4"/>
  <c r="I65" i="4"/>
  <c r="G65" i="4"/>
  <c r="J65" i="4" s="1"/>
  <c r="L64" i="4"/>
  <c r="K64" i="4"/>
  <c r="I64" i="4"/>
  <c r="M64" i="4" s="1"/>
  <c r="G64" i="4"/>
  <c r="J64" i="4" s="1"/>
  <c r="M63" i="4"/>
  <c r="L63" i="4"/>
  <c r="K63" i="4"/>
  <c r="J63" i="4"/>
  <c r="I63" i="4"/>
  <c r="G63" i="4"/>
  <c r="L62" i="4"/>
  <c r="K62" i="4"/>
  <c r="J62" i="4"/>
  <c r="I62" i="4"/>
  <c r="M62" i="4" s="1"/>
  <c r="G62" i="4"/>
  <c r="M61" i="4"/>
  <c r="L61" i="4"/>
  <c r="K61" i="4"/>
  <c r="J61" i="4"/>
  <c r="I61" i="4"/>
  <c r="G61" i="4"/>
  <c r="M60" i="4"/>
  <c r="L60" i="4"/>
  <c r="K60" i="4"/>
  <c r="I60" i="4"/>
  <c r="G60" i="4"/>
  <c r="J60" i="4" s="1"/>
  <c r="L59" i="4"/>
  <c r="K59" i="4"/>
  <c r="I59" i="4"/>
  <c r="M59" i="4" s="1"/>
  <c r="G59" i="4"/>
  <c r="J59" i="4" s="1"/>
  <c r="M58" i="4"/>
  <c r="L58" i="4"/>
  <c r="K58" i="4"/>
  <c r="J58" i="4"/>
  <c r="I58" i="4"/>
  <c r="G58" i="4"/>
  <c r="L57" i="4"/>
  <c r="K57" i="4"/>
  <c r="J57" i="4"/>
  <c r="I57" i="4"/>
  <c r="M57" i="4" s="1"/>
  <c r="G57" i="4"/>
  <c r="M56" i="4"/>
  <c r="L56" i="4"/>
  <c r="K56" i="4"/>
  <c r="J56" i="4"/>
  <c r="I56" i="4"/>
  <c r="G56" i="4"/>
  <c r="M55" i="4"/>
  <c r="L55" i="4"/>
  <c r="K55" i="4"/>
  <c r="I55" i="4"/>
  <c r="G55" i="4"/>
  <c r="J55" i="4" s="1"/>
  <c r="L54" i="4"/>
  <c r="K54" i="4"/>
  <c r="I54" i="4"/>
  <c r="M54" i="4" s="1"/>
  <c r="G54" i="4"/>
  <c r="J54" i="4" s="1"/>
  <c r="M53" i="4"/>
  <c r="L53" i="4"/>
  <c r="K53" i="4"/>
  <c r="J53" i="4"/>
  <c r="I53" i="4"/>
  <c r="G53" i="4"/>
  <c r="L52" i="4"/>
  <c r="K52" i="4"/>
  <c r="J52" i="4"/>
  <c r="I52" i="4"/>
  <c r="M52" i="4" s="1"/>
  <c r="G52" i="4"/>
  <c r="M51" i="4"/>
  <c r="L51" i="4"/>
  <c r="K51" i="4"/>
  <c r="J51" i="4"/>
  <c r="I51" i="4"/>
  <c r="G51" i="4"/>
  <c r="M50" i="4"/>
  <c r="L50" i="4"/>
  <c r="K50" i="4"/>
  <c r="I50" i="4"/>
  <c r="G50" i="4"/>
  <c r="J50" i="4" s="1"/>
  <c r="L49" i="4"/>
  <c r="K49" i="4"/>
  <c r="I49" i="4"/>
  <c r="M49" i="4" s="1"/>
  <c r="G49" i="4"/>
  <c r="J49" i="4" s="1"/>
  <c r="M48" i="4"/>
  <c r="L48" i="4"/>
  <c r="K48" i="4"/>
  <c r="J48" i="4"/>
  <c r="I48" i="4"/>
  <c r="G48" i="4"/>
  <c r="L47" i="4"/>
  <c r="K47" i="4"/>
  <c r="J47" i="4"/>
  <c r="I47" i="4"/>
  <c r="M47" i="4" s="1"/>
  <c r="G47" i="4"/>
  <c r="M46" i="4"/>
  <c r="L46" i="4"/>
  <c r="K46" i="4"/>
  <c r="J46" i="4"/>
  <c r="I46" i="4"/>
  <c r="G46" i="4"/>
  <c r="M45" i="4"/>
  <c r="L45" i="4"/>
  <c r="K45" i="4"/>
  <c r="I45" i="4"/>
  <c r="G45" i="4"/>
  <c r="J45" i="4" s="1"/>
  <c r="L44" i="4"/>
  <c r="K44" i="4"/>
  <c r="I44" i="4"/>
  <c r="M44" i="4" s="1"/>
  <c r="G44" i="4"/>
  <c r="J44" i="4" s="1"/>
  <c r="M43" i="4"/>
  <c r="L43" i="4"/>
  <c r="K43" i="4"/>
  <c r="J43" i="4"/>
  <c r="I43" i="4"/>
  <c r="G43" i="4"/>
  <c r="L42" i="4"/>
  <c r="K42" i="4"/>
  <c r="J42" i="4"/>
  <c r="I42" i="4"/>
  <c r="M42" i="4" s="1"/>
  <c r="G42" i="4"/>
  <c r="M41" i="4"/>
  <c r="L41" i="4"/>
  <c r="K41" i="4"/>
  <c r="J41" i="4"/>
  <c r="I41" i="4"/>
  <c r="G41" i="4"/>
  <c r="M40" i="4"/>
  <c r="L40" i="4"/>
  <c r="K40" i="4"/>
  <c r="I40" i="4"/>
  <c r="G40" i="4"/>
  <c r="J40" i="4" s="1"/>
  <c r="L39" i="4"/>
  <c r="K39" i="4"/>
  <c r="I39" i="4"/>
  <c r="M39" i="4" s="1"/>
  <c r="G39" i="4"/>
  <c r="J39" i="4" s="1"/>
  <c r="M38" i="4"/>
  <c r="L38" i="4"/>
  <c r="K38" i="4"/>
  <c r="J38" i="4"/>
  <c r="I38" i="4"/>
  <c r="G38" i="4"/>
  <c r="L37" i="4"/>
  <c r="K37" i="4"/>
  <c r="J37" i="4"/>
  <c r="I37" i="4"/>
  <c r="M37" i="4" s="1"/>
  <c r="G37" i="4"/>
  <c r="M36" i="4"/>
  <c r="L36" i="4"/>
  <c r="K36" i="4"/>
  <c r="J36" i="4"/>
  <c r="I36" i="4"/>
  <c r="G36" i="4"/>
  <c r="M35" i="4"/>
  <c r="L35" i="4"/>
  <c r="K35" i="4"/>
  <c r="I35" i="4"/>
  <c r="G35" i="4"/>
  <c r="J35" i="4" s="1"/>
  <c r="L34" i="4"/>
  <c r="K34" i="4"/>
  <c r="I34" i="4"/>
  <c r="M34" i="4" s="1"/>
  <c r="G34" i="4"/>
  <c r="J34" i="4" s="1"/>
  <c r="M33" i="4"/>
  <c r="L33" i="4"/>
  <c r="K33" i="4"/>
  <c r="J33" i="4"/>
  <c r="I33" i="4"/>
  <c r="G33" i="4"/>
  <c r="L32" i="4"/>
  <c r="K32" i="4"/>
  <c r="J32" i="4"/>
  <c r="I32" i="4"/>
  <c r="M32" i="4" s="1"/>
  <c r="G32" i="4"/>
  <c r="M31" i="4"/>
  <c r="L31" i="4"/>
  <c r="K31" i="4"/>
  <c r="J31" i="4"/>
  <c r="I31" i="4"/>
  <c r="G31" i="4"/>
  <c r="M30" i="4"/>
  <c r="L30" i="4"/>
  <c r="K30" i="4"/>
  <c r="I30" i="4"/>
  <c r="G30" i="4"/>
  <c r="J30" i="4" s="1"/>
  <c r="L29" i="4"/>
  <c r="K29" i="4"/>
  <c r="I29" i="4"/>
  <c r="M29" i="4" s="1"/>
  <c r="G29" i="4"/>
  <c r="J29" i="4" s="1"/>
  <c r="M28" i="4"/>
  <c r="L28" i="4"/>
  <c r="K28" i="4"/>
  <c r="J28" i="4"/>
  <c r="I28" i="4"/>
  <c r="G28" i="4"/>
  <c r="L27" i="4"/>
  <c r="K27" i="4"/>
  <c r="J27" i="4"/>
  <c r="I27" i="4"/>
  <c r="M27" i="4" s="1"/>
  <c r="G27" i="4"/>
  <c r="M26" i="4"/>
  <c r="L26" i="4"/>
  <c r="K26" i="4"/>
  <c r="J26" i="4"/>
  <c r="I26" i="4"/>
  <c r="G26" i="4"/>
  <c r="M25" i="4"/>
  <c r="L25" i="4"/>
  <c r="K25" i="4"/>
  <c r="I25" i="4"/>
  <c r="G25" i="4"/>
  <c r="J25" i="4" s="1"/>
  <c r="L24" i="4"/>
  <c r="K24" i="4"/>
  <c r="I24" i="4"/>
  <c r="M24" i="4" s="1"/>
  <c r="G24" i="4"/>
  <c r="J24" i="4" s="1"/>
  <c r="M23" i="4"/>
  <c r="L23" i="4"/>
  <c r="K23" i="4"/>
  <c r="J23" i="4"/>
  <c r="I23" i="4"/>
  <c r="G23" i="4"/>
  <c r="L22" i="4"/>
  <c r="K22" i="4"/>
  <c r="J22" i="4"/>
  <c r="I22" i="4"/>
  <c r="M22" i="4" s="1"/>
  <c r="G22" i="4"/>
  <c r="M21" i="4"/>
  <c r="L21" i="4"/>
  <c r="K21" i="4"/>
  <c r="J21" i="4"/>
  <c r="I21" i="4"/>
  <c r="G21" i="4"/>
  <c r="M20" i="4"/>
  <c r="L20" i="4"/>
  <c r="K20" i="4"/>
  <c r="I20" i="4"/>
  <c r="G20" i="4"/>
  <c r="J20" i="4" s="1"/>
  <c r="L19" i="4"/>
  <c r="K19" i="4"/>
  <c r="I19" i="4"/>
  <c r="M19" i="4" s="1"/>
  <c r="G19" i="4"/>
  <c r="J19" i="4" s="1"/>
  <c r="M18" i="4"/>
  <c r="L18" i="4"/>
  <c r="K18" i="4"/>
  <c r="J18" i="4"/>
  <c r="I18" i="4"/>
  <c r="G18" i="4"/>
  <c r="L17" i="4"/>
  <c r="K17" i="4"/>
  <c r="J17" i="4"/>
  <c r="I17" i="4"/>
  <c r="M17" i="4" s="1"/>
  <c r="G17" i="4"/>
  <c r="M16" i="4"/>
  <c r="L16" i="4"/>
  <c r="K16" i="4"/>
  <c r="J16" i="4"/>
  <c r="I16" i="4"/>
  <c r="G16" i="4"/>
  <c r="M15" i="4"/>
  <c r="L15" i="4"/>
  <c r="K15" i="4"/>
  <c r="I15" i="4"/>
  <c r="G15" i="4"/>
  <c r="J15" i="4" s="1"/>
  <c r="L14" i="4"/>
  <c r="K14" i="4"/>
  <c r="I14" i="4"/>
  <c r="M14" i="4" s="1"/>
  <c r="G14" i="4"/>
  <c r="J14" i="4" s="1"/>
  <c r="M13" i="4"/>
  <c r="L13" i="4"/>
  <c r="K13" i="4"/>
  <c r="J13" i="4"/>
  <c r="I13" i="4"/>
  <c r="G13" i="4"/>
  <c r="L12" i="4"/>
  <c r="K12" i="4"/>
  <c r="J12" i="4"/>
  <c r="I12" i="4"/>
  <c r="M12" i="4" s="1"/>
  <c r="G12" i="4"/>
  <c r="M11" i="4"/>
  <c r="L11" i="4"/>
  <c r="K11" i="4"/>
  <c r="J11" i="4"/>
  <c r="I11" i="4"/>
  <c r="G11" i="4"/>
  <c r="M10" i="4"/>
  <c r="L10" i="4"/>
  <c r="K10" i="4"/>
  <c r="I10" i="4"/>
  <c r="G10" i="4"/>
  <c r="J10" i="4" s="1"/>
  <c r="L9" i="4"/>
  <c r="K9" i="4"/>
  <c r="I9" i="4"/>
  <c r="M9" i="4" s="1"/>
  <c r="G9" i="4"/>
  <c r="J9" i="4" s="1"/>
  <c r="M8" i="4"/>
  <c r="L8" i="4"/>
  <c r="K8" i="4"/>
  <c r="J8" i="4"/>
  <c r="I8" i="4"/>
  <c r="G8" i="4"/>
  <c r="L7" i="4"/>
  <c r="K7" i="4"/>
  <c r="J7" i="4"/>
  <c r="I7" i="4"/>
  <c r="M7" i="4" s="1"/>
  <c r="G7" i="4"/>
  <c r="M6" i="4"/>
  <c r="L6" i="4"/>
  <c r="L90" i="4" s="1"/>
  <c r="M90" i="4" s="1"/>
  <c r="K6" i="4"/>
  <c r="J6" i="4"/>
  <c r="I6" i="4"/>
  <c r="G6" i="4"/>
  <c r="I81" i="3"/>
  <c r="A81" i="3"/>
  <c r="E81" i="3" s="1"/>
  <c r="G81" i="3" s="1"/>
  <c r="J81" i="3" s="1"/>
  <c r="I80" i="3"/>
  <c r="A80" i="3"/>
  <c r="E80" i="3" s="1"/>
  <c r="G80" i="3" s="1"/>
  <c r="J80" i="3" s="1"/>
  <c r="I79" i="3"/>
  <c r="A79" i="3"/>
  <c r="E79" i="3" s="1"/>
  <c r="G79" i="3" s="1"/>
  <c r="J79" i="3" s="1"/>
  <c r="I78" i="3"/>
  <c r="A78" i="3"/>
  <c r="E78" i="3" s="1"/>
  <c r="G78" i="3" s="1"/>
  <c r="J78" i="3" s="1"/>
  <c r="I77" i="3"/>
  <c r="A77" i="3"/>
  <c r="E77" i="3" s="1"/>
  <c r="G77" i="3" s="1"/>
  <c r="J77" i="3" s="1"/>
  <c r="I76" i="3"/>
  <c r="A76" i="3"/>
  <c r="E76" i="3" s="1"/>
  <c r="G76" i="3" s="1"/>
  <c r="J76" i="3" s="1"/>
  <c r="I75" i="3"/>
  <c r="A75" i="3"/>
  <c r="E75" i="3" s="1"/>
  <c r="G75" i="3" s="1"/>
  <c r="J75" i="3" s="1"/>
  <c r="I74" i="3"/>
  <c r="A74" i="3"/>
  <c r="E74" i="3" s="1"/>
  <c r="G74" i="3" s="1"/>
  <c r="J74" i="3" s="1"/>
  <c r="I73" i="3"/>
  <c r="A73" i="3"/>
  <c r="E73" i="3" s="1"/>
  <c r="G73" i="3" s="1"/>
  <c r="J73" i="3" s="1"/>
  <c r="I72" i="3"/>
  <c r="A72" i="3"/>
  <c r="E72" i="3" s="1"/>
  <c r="G72" i="3" s="1"/>
  <c r="J72" i="3" s="1"/>
  <c r="I71" i="3"/>
  <c r="A71" i="3"/>
  <c r="E71" i="3" s="1"/>
  <c r="G71" i="3" s="1"/>
  <c r="J71" i="3" s="1"/>
  <c r="I70" i="3"/>
  <c r="A70" i="3"/>
  <c r="E70" i="3" s="1"/>
  <c r="G70" i="3" s="1"/>
  <c r="J70" i="3" s="1"/>
  <c r="I69" i="3"/>
  <c r="A69" i="3"/>
  <c r="E69" i="3" s="1"/>
  <c r="G69" i="3" s="1"/>
  <c r="J69" i="3" s="1"/>
  <c r="I68" i="3"/>
  <c r="A68" i="3"/>
  <c r="E68" i="3" s="1"/>
  <c r="G68" i="3" s="1"/>
  <c r="J68" i="3" s="1"/>
  <c r="I67" i="3"/>
  <c r="A67" i="3"/>
  <c r="E67" i="3" s="1"/>
  <c r="G67" i="3" s="1"/>
  <c r="J67" i="3" s="1"/>
  <c r="I66" i="3"/>
  <c r="A66" i="3"/>
  <c r="E66" i="3" s="1"/>
  <c r="G66" i="3" s="1"/>
  <c r="J66" i="3" s="1"/>
  <c r="I65" i="3"/>
  <c r="A65" i="3"/>
  <c r="E65" i="3" s="1"/>
  <c r="G65" i="3" s="1"/>
  <c r="J65" i="3" s="1"/>
  <c r="I64" i="3"/>
  <c r="A64" i="3"/>
  <c r="E64" i="3" s="1"/>
  <c r="G64" i="3" s="1"/>
  <c r="J64" i="3" s="1"/>
  <c r="I63" i="3"/>
  <c r="A63" i="3"/>
  <c r="E63" i="3" s="1"/>
  <c r="G63" i="3" s="1"/>
  <c r="J63" i="3" s="1"/>
  <c r="I62" i="3"/>
  <c r="A62" i="3"/>
  <c r="E62" i="3" s="1"/>
  <c r="G62" i="3" s="1"/>
  <c r="J62" i="3" s="1"/>
  <c r="I61" i="3"/>
  <c r="A61" i="3"/>
  <c r="E61" i="3" s="1"/>
  <c r="G61" i="3" s="1"/>
  <c r="J61" i="3" s="1"/>
  <c r="I60" i="3"/>
  <c r="A60" i="3"/>
  <c r="E60" i="3" s="1"/>
  <c r="G60" i="3" s="1"/>
  <c r="J60" i="3" s="1"/>
  <c r="I59" i="3"/>
  <c r="A59" i="3"/>
  <c r="E59" i="3" s="1"/>
  <c r="G59" i="3" s="1"/>
  <c r="J59" i="3" s="1"/>
  <c r="I58" i="3"/>
  <c r="A58" i="3"/>
  <c r="E58" i="3" s="1"/>
  <c r="G58" i="3" s="1"/>
  <c r="J58" i="3" s="1"/>
  <c r="I57" i="3"/>
  <c r="A57" i="3"/>
  <c r="E57" i="3" s="1"/>
  <c r="G57" i="3" s="1"/>
  <c r="J57" i="3" s="1"/>
  <c r="I56" i="3"/>
  <c r="A56" i="3"/>
  <c r="E56" i="3" s="1"/>
  <c r="G56" i="3" s="1"/>
  <c r="J56" i="3" s="1"/>
  <c r="I55" i="3"/>
  <c r="A55" i="3"/>
  <c r="E55" i="3" s="1"/>
  <c r="G55" i="3" s="1"/>
  <c r="J55" i="3" s="1"/>
  <c r="I54" i="3"/>
  <c r="A54" i="3"/>
  <c r="E54" i="3" s="1"/>
  <c r="G54" i="3" s="1"/>
  <c r="J54" i="3" s="1"/>
  <c r="I53" i="3"/>
  <c r="A53" i="3"/>
  <c r="E53" i="3" s="1"/>
  <c r="G53" i="3" s="1"/>
  <c r="J53" i="3" s="1"/>
  <c r="I52" i="3"/>
  <c r="A52" i="3"/>
  <c r="E52" i="3" s="1"/>
  <c r="G52" i="3" s="1"/>
  <c r="J52" i="3" s="1"/>
  <c r="I51" i="3"/>
  <c r="A51" i="3"/>
  <c r="E51" i="3" s="1"/>
  <c r="G51" i="3" s="1"/>
  <c r="J51" i="3" s="1"/>
  <c r="I50" i="3"/>
  <c r="A50" i="3"/>
  <c r="E50" i="3" s="1"/>
  <c r="G50" i="3" s="1"/>
  <c r="J50" i="3" s="1"/>
  <c r="I49" i="3"/>
  <c r="A49" i="3"/>
  <c r="E49" i="3" s="1"/>
  <c r="G49" i="3" s="1"/>
  <c r="J49" i="3" s="1"/>
  <c r="I48" i="3"/>
  <c r="A48" i="3"/>
  <c r="E48" i="3" s="1"/>
  <c r="G48" i="3" s="1"/>
  <c r="J48" i="3" s="1"/>
  <c r="I47" i="3"/>
  <c r="A47" i="3"/>
  <c r="E47" i="3" s="1"/>
  <c r="G47" i="3" s="1"/>
  <c r="J47" i="3" s="1"/>
  <c r="I46" i="3"/>
  <c r="A46" i="3"/>
  <c r="E46" i="3" s="1"/>
  <c r="G46" i="3" s="1"/>
  <c r="J46" i="3" s="1"/>
  <c r="I45" i="3"/>
  <c r="A45" i="3"/>
  <c r="E45" i="3" s="1"/>
  <c r="G45" i="3" s="1"/>
  <c r="J45" i="3" s="1"/>
  <c r="I44" i="3"/>
  <c r="A44" i="3"/>
  <c r="E44" i="3" s="1"/>
  <c r="G44" i="3" s="1"/>
  <c r="J44" i="3" s="1"/>
  <c r="I43" i="3"/>
  <c r="A43" i="3"/>
  <c r="E43" i="3" s="1"/>
  <c r="G43" i="3" s="1"/>
  <c r="J43" i="3" s="1"/>
  <c r="I42" i="3"/>
  <c r="A42" i="3"/>
  <c r="E42" i="3" s="1"/>
  <c r="G42" i="3" s="1"/>
  <c r="J42" i="3" s="1"/>
  <c r="I41" i="3"/>
  <c r="A41" i="3"/>
  <c r="E41" i="3" s="1"/>
  <c r="G41" i="3" s="1"/>
  <c r="J41" i="3" s="1"/>
  <c r="I40" i="3"/>
  <c r="A40" i="3"/>
  <c r="E40" i="3" s="1"/>
  <c r="G40" i="3" s="1"/>
  <c r="J40" i="3" s="1"/>
  <c r="I39" i="3"/>
  <c r="A39" i="3"/>
  <c r="E39" i="3" s="1"/>
  <c r="G39" i="3" s="1"/>
  <c r="J39" i="3" s="1"/>
  <c r="I38" i="3"/>
  <c r="A38" i="3"/>
  <c r="E38" i="3" s="1"/>
  <c r="G38" i="3" s="1"/>
  <c r="J38" i="3" s="1"/>
  <c r="I37" i="3"/>
  <c r="A37" i="3"/>
  <c r="E37" i="3" s="1"/>
  <c r="G37" i="3" s="1"/>
  <c r="J37" i="3" s="1"/>
  <c r="I36" i="3"/>
  <c r="A36" i="3"/>
  <c r="E36" i="3" s="1"/>
  <c r="G36" i="3" s="1"/>
  <c r="J36" i="3" s="1"/>
  <c r="I35" i="3"/>
  <c r="A35" i="3"/>
  <c r="E35" i="3" s="1"/>
  <c r="G35" i="3" s="1"/>
  <c r="J35" i="3" s="1"/>
  <c r="I34" i="3"/>
  <c r="A34" i="3"/>
  <c r="E34" i="3" s="1"/>
  <c r="G34" i="3" s="1"/>
  <c r="J34" i="3" s="1"/>
  <c r="I33" i="3"/>
  <c r="A33" i="3"/>
  <c r="E33" i="3" s="1"/>
  <c r="G33" i="3" s="1"/>
  <c r="J33" i="3" s="1"/>
  <c r="I32" i="3"/>
  <c r="A32" i="3"/>
  <c r="E32" i="3" s="1"/>
  <c r="G32" i="3" s="1"/>
  <c r="J32" i="3" s="1"/>
  <c r="I31" i="3"/>
  <c r="A31" i="3"/>
  <c r="E31" i="3" s="1"/>
  <c r="G31" i="3" s="1"/>
  <c r="J31" i="3" s="1"/>
  <c r="I30" i="3"/>
  <c r="A30" i="3"/>
  <c r="E30" i="3" s="1"/>
  <c r="G30" i="3" s="1"/>
  <c r="J30" i="3" s="1"/>
  <c r="I29" i="3"/>
  <c r="A29" i="3"/>
  <c r="E29" i="3" s="1"/>
  <c r="G29" i="3" s="1"/>
  <c r="J29" i="3" s="1"/>
  <c r="I28" i="3"/>
  <c r="A28" i="3"/>
  <c r="E28" i="3" s="1"/>
  <c r="G28" i="3" s="1"/>
  <c r="J28" i="3" s="1"/>
  <c r="I27" i="3"/>
  <c r="A27" i="3"/>
  <c r="E27" i="3" s="1"/>
  <c r="G27" i="3" s="1"/>
  <c r="J27" i="3" s="1"/>
  <c r="I26" i="3"/>
  <c r="A26" i="3"/>
  <c r="E26" i="3" s="1"/>
  <c r="G26" i="3" s="1"/>
  <c r="J26" i="3" s="1"/>
  <c r="I25" i="3"/>
  <c r="A25" i="3"/>
  <c r="E25" i="3" s="1"/>
  <c r="G25" i="3" s="1"/>
  <c r="J25" i="3" s="1"/>
  <c r="I24" i="3"/>
  <c r="A24" i="3"/>
  <c r="E24" i="3" s="1"/>
  <c r="G24" i="3" s="1"/>
  <c r="J24" i="3" s="1"/>
  <c r="I23" i="3"/>
  <c r="A23" i="3"/>
  <c r="E23" i="3" s="1"/>
  <c r="G23" i="3" s="1"/>
  <c r="J23" i="3" s="1"/>
  <c r="I22" i="3"/>
  <c r="A22" i="3"/>
  <c r="E22" i="3" s="1"/>
  <c r="G22" i="3" s="1"/>
  <c r="J22" i="3" s="1"/>
  <c r="I21" i="3"/>
  <c r="A21" i="3"/>
  <c r="E21" i="3" s="1"/>
  <c r="G21" i="3" s="1"/>
  <c r="J21" i="3" s="1"/>
  <c r="I20" i="3"/>
  <c r="A20" i="3"/>
  <c r="E20" i="3" s="1"/>
  <c r="G20" i="3" s="1"/>
  <c r="J20" i="3" s="1"/>
  <c r="I19" i="3"/>
  <c r="A19" i="3"/>
  <c r="E19" i="3" s="1"/>
  <c r="G19" i="3" s="1"/>
  <c r="J19" i="3" s="1"/>
  <c r="I18" i="3"/>
  <c r="A18" i="3"/>
  <c r="E18" i="3" s="1"/>
  <c r="G18" i="3" s="1"/>
  <c r="J18" i="3" s="1"/>
  <c r="I17" i="3"/>
  <c r="A17" i="3"/>
  <c r="E17" i="3" s="1"/>
  <c r="G17" i="3" s="1"/>
  <c r="J17" i="3" s="1"/>
  <c r="I16" i="3"/>
  <c r="A16" i="3"/>
  <c r="E16" i="3" s="1"/>
  <c r="G16" i="3" s="1"/>
  <c r="J16" i="3" s="1"/>
  <c r="J15" i="3"/>
  <c r="I15" i="3"/>
  <c r="A15" i="3"/>
  <c r="E15" i="3" s="1"/>
  <c r="G15" i="3" s="1"/>
  <c r="J14" i="3"/>
  <c r="I14" i="3"/>
  <c r="A14" i="3"/>
  <c r="E14" i="3" s="1"/>
  <c r="G14" i="3" s="1"/>
  <c r="I13" i="3"/>
  <c r="A13" i="3"/>
  <c r="E13" i="3" s="1"/>
  <c r="G13" i="3" s="1"/>
  <c r="J13" i="3" s="1"/>
  <c r="J12" i="3"/>
  <c r="I12" i="3"/>
  <c r="A12" i="3"/>
  <c r="E12" i="3" s="1"/>
  <c r="G12" i="3" s="1"/>
  <c r="I11" i="3"/>
  <c r="A11" i="3"/>
  <c r="E11" i="3" s="1"/>
  <c r="G11" i="3" s="1"/>
  <c r="J11" i="3" s="1"/>
  <c r="I10" i="3"/>
  <c r="A10" i="3"/>
  <c r="E10" i="3" s="1"/>
  <c r="G10" i="3" s="1"/>
  <c r="J10" i="3" s="1"/>
  <c r="J9" i="3"/>
  <c r="I9" i="3"/>
  <c r="A9" i="3"/>
  <c r="E9" i="3" s="1"/>
  <c r="G9" i="3" s="1"/>
  <c r="J8" i="3"/>
  <c r="I8" i="3"/>
  <c r="A8" i="3"/>
  <c r="E8" i="3" s="1"/>
  <c r="G8" i="3" s="1"/>
  <c r="E78" i="2"/>
  <c r="D78" i="2"/>
  <c r="B78" i="2"/>
  <c r="E77" i="2"/>
  <c r="D77" i="2"/>
  <c r="B77" i="2"/>
  <c r="E76" i="2"/>
  <c r="D76" i="2"/>
  <c r="F76" i="2" s="1"/>
  <c r="B76" i="2"/>
  <c r="E75" i="2"/>
  <c r="D75" i="2"/>
  <c r="B75" i="2"/>
  <c r="E74" i="2"/>
  <c r="D74" i="2"/>
  <c r="B74" i="2"/>
  <c r="E70" i="2"/>
  <c r="E69" i="2"/>
  <c r="E61" i="2"/>
  <c r="G58" i="2"/>
  <c r="F58" i="2"/>
  <c r="G57" i="2"/>
  <c r="F57" i="2"/>
  <c r="G56" i="2"/>
  <c r="F56" i="2"/>
  <c r="G55" i="2"/>
  <c r="F55" i="2"/>
  <c r="G54" i="2"/>
  <c r="F54" i="2"/>
  <c r="G53" i="2"/>
  <c r="F53" i="2"/>
  <c r="G52" i="2"/>
  <c r="F52" i="2"/>
  <c r="G51" i="2"/>
  <c r="F51" i="2"/>
  <c r="G50" i="2"/>
  <c r="F50" i="2"/>
  <c r="G49" i="2"/>
  <c r="F49" i="2"/>
  <c r="G48" i="2"/>
  <c r="F48" i="2"/>
  <c r="G47" i="2"/>
  <c r="F47" i="2"/>
  <c r="G46" i="2"/>
  <c r="F46" i="2"/>
  <c r="G45" i="2"/>
  <c r="F45" i="2"/>
  <c r="G44" i="2"/>
  <c r="F44" i="2"/>
  <c r="G43" i="2"/>
  <c r="F43" i="2"/>
  <c r="G42" i="2"/>
  <c r="F42" i="2"/>
  <c r="G41" i="2"/>
  <c r="F41" i="2"/>
  <c r="G40" i="2"/>
  <c r="F40" i="2"/>
  <c r="G39" i="2"/>
  <c r="F39" i="2"/>
  <c r="G38" i="2"/>
  <c r="F38" i="2"/>
  <c r="G37" i="2"/>
  <c r="F37" i="2"/>
  <c r="G36" i="2"/>
  <c r="F36" i="2"/>
  <c r="G35" i="2"/>
  <c r="F35" i="2"/>
  <c r="G34" i="2"/>
  <c r="F34" i="2"/>
  <c r="G33" i="2"/>
  <c r="F33" i="2"/>
  <c r="G32" i="2"/>
  <c r="F32" i="2"/>
  <c r="G31" i="2"/>
  <c r="F31" i="2"/>
  <c r="G30" i="2"/>
  <c r="F30" i="2"/>
  <c r="G29" i="2"/>
  <c r="F29" i="2"/>
  <c r="G28" i="2"/>
  <c r="F28" i="2"/>
  <c r="G27" i="2"/>
  <c r="F27" i="2"/>
  <c r="G26" i="2"/>
  <c r="F26" i="2"/>
  <c r="G25" i="2"/>
  <c r="F25" i="2"/>
  <c r="G24" i="2"/>
  <c r="F24" i="2"/>
  <c r="G23" i="2"/>
  <c r="F23" i="2"/>
  <c r="G22" i="2"/>
  <c r="F22" i="2"/>
  <c r="G21" i="2"/>
  <c r="F21" i="2"/>
  <c r="G20" i="2"/>
  <c r="F20" i="2"/>
  <c r="G19" i="2"/>
  <c r="F19" i="2"/>
  <c r="G18" i="2"/>
  <c r="F18" i="2"/>
  <c r="G17" i="2"/>
  <c r="F17" i="2"/>
  <c r="G16" i="2"/>
  <c r="F16" i="2"/>
  <c r="G15" i="2"/>
  <c r="F15" i="2"/>
  <c r="G14" i="2"/>
  <c r="F14" i="2"/>
  <c r="G13" i="2"/>
  <c r="F13" i="2"/>
  <c r="G12" i="2"/>
  <c r="F12" i="2"/>
  <c r="G11" i="2"/>
  <c r="F11" i="2"/>
  <c r="G10" i="2"/>
  <c r="F10" i="2"/>
  <c r="G9" i="2"/>
  <c r="F9" i="2"/>
  <c r="G8" i="2"/>
  <c r="F8" i="2"/>
  <c r="F75" i="2" l="1"/>
  <c r="F74" i="2"/>
  <c r="F78" i="2"/>
  <c r="E68" i="2"/>
  <c r="E62" i="2"/>
  <c r="C76" i="2"/>
  <c r="E63" i="2"/>
  <c r="F77" i="2"/>
  <c r="C75" i="2"/>
  <c r="C77" i="2"/>
  <c r="C74" i="2"/>
  <c r="C78" i="2"/>
  <c r="E65" i="2" l="1"/>
  <c r="E64" i="2"/>
  <c r="E67" i="2"/>
  <c r="E66" i="2"/>
</calcChain>
</file>

<file path=xl/sharedStrings.xml><?xml version="1.0" encoding="utf-8"?>
<sst xmlns="http://schemas.openxmlformats.org/spreadsheetml/2006/main" count="719" uniqueCount="192">
  <si>
    <t>Intermediate Powers: Democratic Quality and Funding of the UN Human Rights Office, 2021–2025</t>
  </si>
  <si>
    <t>Sources: V-Dem Liberal Democracy Index, five-year mean 2021–2025 (V-Dem dataset via Our World in Data). OHCHR voluntary contributions, mean of the annual tables 2021–2025, provisional. GDP: World Bank, GDP (current US$), 2025.</t>
  </si>
  <si>
    <t>Fifty-one states selected under the rules set out on the Selection sheet. Ranked by Liberal Democracy Index. Columns F to J are formulas: change either threshold in the blue cells below and the classification updates.</t>
  </si>
  <si>
    <t>Democratic threshold (LDI)</t>
  </si>
  <si>
    <t>Funding line (US$ per billion of GDP)</t>
  </si>
  <si>
    <t>Country</t>
  </si>
  <si>
    <t>UN regional group</t>
  </si>
  <si>
    <t>LDI, five-year mean 2021–25</t>
  </si>
  <si>
    <t>GDP 2025 (US$ million)</t>
  </si>
  <si>
    <t>OHCHR voluntary contribution, annual mean 2021–25 (US$)</t>
  </si>
  <si>
    <t>Contribution per US$ billion of GDP</t>
  </si>
  <si>
    <t>Contributed 2021–25</t>
  </si>
  <si>
    <t>Above democratic threshold</t>
  </si>
  <si>
    <t>Denmark</t>
  </si>
  <si>
    <t>WEOG</t>
  </si>
  <si>
    <t>Sweden</t>
  </si>
  <si>
    <t>Switzerland</t>
  </si>
  <si>
    <t>Norway</t>
  </si>
  <si>
    <t>Ireland</t>
  </si>
  <si>
    <t>Belgium</t>
  </si>
  <si>
    <t>Finland</t>
  </si>
  <si>
    <t>New Zealand</t>
  </si>
  <si>
    <t>Germany</t>
  </si>
  <si>
    <t>Australia</t>
  </si>
  <si>
    <t>Netherlands</t>
  </si>
  <si>
    <t>Chile</t>
  </si>
  <si>
    <t>GRULAC</t>
  </si>
  <si>
    <t>Czechia</t>
  </si>
  <si>
    <t>EEG</t>
  </si>
  <si>
    <t>Austria</t>
  </si>
  <si>
    <t>Spain</t>
  </si>
  <si>
    <t>Portugal</t>
  </si>
  <si>
    <t>Canada</t>
  </si>
  <si>
    <t>Japan</t>
  </si>
  <si>
    <t>Asia-Pacific</t>
  </si>
  <si>
    <t>Italy</t>
  </si>
  <si>
    <t>South Korea</t>
  </si>
  <si>
    <t>Slovakia</t>
  </si>
  <si>
    <t>Brazil</t>
  </si>
  <si>
    <t>South Africa</t>
  </si>
  <si>
    <t>African</t>
  </si>
  <si>
    <t>Argentina</t>
  </si>
  <si>
    <t>Greece</t>
  </si>
  <si>
    <t>Peru</t>
  </si>
  <si>
    <t>Colombia</t>
  </si>
  <si>
    <t>Romania</t>
  </si>
  <si>
    <t>Poland</t>
  </si>
  <si>
    <t>Indonesia</t>
  </si>
  <si>
    <t>Singapore</t>
  </si>
  <si>
    <t>Malaysia</t>
  </si>
  <si>
    <t>Hungary</t>
  </si>
  <si>
    <t>Nigeria</t>
  </si>
  <si>
    <t>Mexico</t>
  </si>
  <si>
    <t>Philippines</t>
  </si>
  <si>
    <t>Ukraine</t>
  </si>
  <si>
    <t>Thailand</t>
  </si>
  <si>
    <t>Morocco</t>
  </si>
  <si>
    <t>Kuwait</t>
  </si>
  <si>
    <t>Iraq</t>
  </si>
  <si>
    <t>Kazakhstan</t>
  </si>
  <si>
    <t>Algeria</t>
  </si>
  <si>
    <t>Egypt</t>
  </si>
  <si>
    <t>Türkiye</t>
  </si>
  <si>
    <t>Vietnam</t>
  </si>
  <si>
    <t>Bangladesh</t>
  </si>
  <si>
    <t>Iran</t>
  </si>
  <si>
    <t>Qatar</t>
  </si>
  <si>
    <t>UAE</t>
  </si>
  <si>
    <t>Saudi Arabia</t>
  </si>
  <si>
    <t>Summary</t>
  </si>
  <si>
    <t>States covered</t>
  </si>
  <si>
    <t>States with no contribution 2021–25</t>
  </si>
  <si>
    <t>States above the democratic threshold</t>
  </si>
  <si>
    <t>Democratic champions</t>
  </si>
  <si>
    <t>Unrealised potential</t>
  </si>
  <si>
    <t>Strategic contributors</t>
  </si>
  <si>
    <t>Absent</t>
  </si>
  <si>
    <t>Median contribution per US$ billion of GDP</t>
  </si>
  <si>
    <t>Total annual mean contribution of the 51 states (US$)</t>
  </si>
  <si>
    <t>Share of that total from the Western European and Others Group</t>
  </si>
  <si>
    <t>per cent</t>
  </si>
  <si>
    <t>By UN regional group</t>
  </si>
  <si>
    <t>States</t>
  </si>
  <si>
    <t>Annual mean contribution (US$)</t>
  </si>
  <si>
    <t>Combined GDP 2025 (US$ million)</t>
  </si>
  <si>
    <t>Notes:</t>
  </si>
  <si>
    <t>• Column E is the mean of the five annual OHCHR tables 2021 to 2025, dividing by five in every case, so a state that gave in one year only is averaged across five. OHCHR records the figures as provisional. Cells shaded red record no contribution in any of the five years.</t>
  </si>
  <si>
    <t>• Column F divides column E by GDP in billions of US$. It is the vertical axis of Figure 1, which plots it on a log scale.</t>
  </si>
  <si>
    <t>• Position in Figure 1: Democratic champion, at or above both lines; Unrealised potential, at or above the democratic threshold and below the funding line; Strategic contributor, below the democratic threshold and at or above the funding line; Absent, below both.</t>
  </si>
  <si>
    <t>• Both thresholds are judgements. The sheet reports the underlying scores so that readers can apply their own.</t>
  </si>
  <si>
    <t>• The United Arab Emirates GDP figure is the World Bank 2024 value, the latest published.</t>
  </si>
  <si>
    <t>• A record column, covering concerns raised about each state in the current UN review cycle with a source for each entry, will be added to this sheet.</t>
  </si>
  <si>
    <t>Selection of Intermediate Powers: Screening of UN Member States with a GDP Above US$ 100 Billion</t>
  </si>
  <si>
    <t>Sources: World Bank, GDP (current US$), 2025 (Cuba 2020 and the United Arab Emirates 2024, the latest values published). UN World Population Prospects 2024, medium variant, 2025. Rank, tests and status are formulas.</t>
  </si>
  <si>
    <t>A state is an intermediate power for Dispatch #2 when it is a UN Member State, is not a permanent member of the Security Council, is not both one of the ten largest economies and one of the ten most populous states, does not possess nuclear weapons, and has a GDP of at least the floor in the blue cell.</t>
  </si>
  <si>
    <t>GDP floor (US$ million)</t>
  </si>
  <si>
    <t>Rank by GDP 2025</t>
  </si>
  <si>
    <t>State</t>
  </si>
  <si>
    <t>Permanent member of the Security Council</t>
  </si>
  <si>
    <t>One of the ten largest economies</t>
  </si>
  <si>
    <t>One of the ten most populous</t>
  </si>
  <si>
    <t>Both of the previous two</t>
  </si>
  <si>
    <t>Nuclear-armed</t>
  </si>
  <si>
    <t>At or above GDP floor</t>
  </si>
  <si>
    <t>Status</t>
  </si>
  <si>
    <t>United States</t>
  </si>
  <si>
    <t>Yes</t>
  </si>
  <si>
    <t>China</t>
  </si>
  <si>
    <t>No</t>
  </si>
  <si>
    <t>United Kingdom</t>
  </si>
  <si>
    <t>India</t>
  </si>
  <si>
    <t>France</t>
  </si>
  <si>
    <t>Russia</t>
  </si>
  <si>
    <t>Israel</t>
  </si>
  <si>
    <t>Pakistan</t>
  </si>
  <si>
    <t>Uzbekistan</t>
  </si>
  <si>
    <t>Kenya</t>
  </si>
  <si>
    <t>Bulgaria</t>
  </si>
  <si>
    <t>Ecuador</t>
  </si>
  <si>
    <t>Dominican Republic</t>
  </si>
  <si>
    <t>Ethiopia</t>
  </si>
  <si>
    <t>Guatemala</t>
  </si>
  <si>
    <t>Angola</t>
  </si>
  <si>
    <t>Ghana</t>
  </si>
  <si>
    <t>Oman</t>
  </si>
  <si>
    <t>Sri Lanka</t>
  </si>
  <si>
    <t>Cuba</t>
  </si>
  <si>
    <t>Croatia</t>
  </si>
  <si>
    <t>Costa Rica</t>
  </si>
  <si>
    <t>Luxembourg</t>
  </si>
  <si>
    <t>Most populous states, 2025 (UN World Population Prospects 2024)</t>
  </si>
  <si>
    <t>Rank</t>
  </si>
  <si>
    <t>Population (million)</t>
  </si>
  <si>
    <t>• Permanent members of the Security Council: China, France, Russia, the United Kingdom and the United States.</t>
  </si>
  <si>
    <t>• The ten largest economies on the World Bank 2025 series are the United States, China, Germany, Japan, the United Kingdom, India, France, Russia, Italy and Canada. The ten most populous states are shaded grey in the table above. Four states appear on both lists: the United States, China, India and Russia.</t>
  </si>
  <si>
    <t>• Nuclear-armed states are the nine states that possess nuclear weapons: the five permanent members, India, Pakistan, Israel and North Korea. North Korea does not appear in the list because the World Bank publishes no GDP figure for it. NATO nuclear-sharing arrangements are not counted.</t>
  </si>
  <si>
    <t>• Status records the first rule that applies, in the order of the columns. A state can meet more than one rule: India, for example, meets both the combined test and the nuclear test.</t>
  </si>
  <si>
    <t>• Only UN Member States are listed. Hong Kong, Macau and Puerto Rico are not states; Taiwan is not a UN Member State and has no World Bank figure.</t>
  </si>
  <si>
    <t>• States below the floor are listed down to US$ 100 billion to show where the line falls. Smaller states remain in the 0.01 per cent pledge sheet.</t>
  </si>
  <si>
    <t>• Rows shaded yellow are the fifty-one intermediate powers carried on the Intermediate powers sheet.</t>
  </si>
  <si>
    <t>The 0.01 Per Cent for Human Rights Pledge: All 83 States Contributing to OHCHR, 2021–2025</t>
  </si>
  <si>
    <t>Contributions: OHCHR annual voluntary contribution tables 2021–2025. GDP per capita and total GDP: World Bank 2025 series. Liberal Democracy Index: V-Dem via Our World in Data, five-year mean 2021–2025.</t>
  </si>
  <si>
    <t>Ranked by current contribution as a percentage of GDP. Column K is the pledge: 0.01 per cent of GDP per capita, per inhabitant per year. Column J is what each inhabitant currently pays. Click any header arrow to sort.</t>
  </si>
  <si>
    <t>UN Group</t>
  </si>
  <si>
    <t>Intermediate power (Dispatch #2)</t>
  </si>
  <si>
    <t>LDI (2021–25)</t>
  </si>
  <si>
    <t>GDP per capita 2025 (US$)</t>
  </si>
  <si>
    <t>Total GDP 2025 (US$ m)</t>
  </si>
  <si>
    <t>Population (m)</t>
  </si>
  <si>
    <t>OHCHR avg contribution 2021–25 (US$)</t>
  </si>
  <si>
    <t>Current contribution as per cent of GDP</t>
  </si>
  <si>
    <t>Current cost per inhabitant (US$/yr)</t>
  </si>
  <si>
    <t>PLEDGE: 0.01 per cent of GDP per capita, per inhabitant (US$/yr)</t>
  </si>
  <si>
    <t>Pledge national total (US$/yr)</t>
  </si>
  <si>
    <t>Current effort as share of pledge</t>
  </si>
  <si>
    <t>Liechtenstein</t>
  </si>
  <si>
    <t>n/a</t>
  </si>
  <si>
    <t>Iceland</t>
  </si>
  <si>
    <t>Andorra</t>
  </si>
  <si>
    <t>Monaco</t>
  </si>
  <si>
    <t>Cyprus</t>
  </si>
  <si>
    <t>Estonia</t>
  </si>
  <si>
    <t>Montenegro</t>
  </si>
  <si>
    <t>San Marino</t>
  </si>
  <si>
    <t>Latvia</t>
  </si>
  <si>
    <t>Malta</t>
  </si>
  <si>
    <t>Lithuania</t>
  </si>
  <si>
    <t>Armenia</t>
  </si>
  <si>
    <t>Slovenia</t>
  </si>
  <si>
    <t>Côte d'Ivoire</t>
  </si>
  <si>
    <t>Azerbaijan</t>
  </si>
  <si>
    <t>Uruguay</t>
  </si>
  <si>
    <t>Georgia</t>
  </si>
  <si>
    <t>Albania</t>
  </si>
  <si>
    <t>Mauritius</t>
  </si>
  <si>
    <t>Nicaragua</t>
  </si>
  <si>
    <t>Tajikistan</t>
  </si>
  <si>
    <t>Kyrgyzstan</t>
  </si>
  <si>
    <t>Paraguay</t>
  </si>
  <si>
    <t>Cambodia</t>
  </si>
  <si>
    <t>Bosnia and Herzegovina</t>
  </si>
  <si>
    <t>Bahamas</t>
  </si>
  <si>
    <t>Benin</t>
  </si>
  <si>
    <t>Totals across the 83 contributing states</t>
  </si>
  <si>
    <t>• The pledge as worded, 0.01 per cent of GDP per capita paid by each inhabitant, is arithmetically identical to 0.01 per cent of national GDP. Column K gives the per-inhabitant figure, column L the national total it produces.</t>
  </si>
  <si>
    <t>• Column J is what each inhabitant currently pays, so J against K is the gap the pledge would close.</t>
  </si>
  <si>
    <t>• Population in column G is derived as total GDP divided by GDP per capita. Both come from the same World Bank 2025 series, so the division is internally consistent.</t>
  </si>
  <si>
    <t>• Contribution figures are the mean of the five years 2021 to 2025, dividing by five in every case. OHCHR records them as provisional.</t>
  </si>
  <si>
    <t>• Figures in italics carry a different reference year in the source: Monaco, Liechtenstein, the United Arab Emirates and the Bahamas 2024, San Marino 2023, Cuba 2020.</t>
  </si>
  <si>
    <t>• States only. UN entities, the European Commission, other intergovernmental organisations, NGOs, foundations, companies and sub-national entities are excluded.</t>
  </si>
  <si>
    <t>• Column M colour: green at or above the 0.01 per cent pledge; blue at or above 0.003 per cent; amber at or above 0.001 per cent; red below that.</t>
  </si>
  <si>
    <t>• Column C marks the intermediate powers analysed in Dispatch #2 (see the Selection sheet). Eight intermediate powers made no contribution in 2021–2025 and so do not appear here: Argentina, Colombia, Iran, Iraq, Nigeria, South Africa, Ukraine and Vietnam.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</si>
</sst>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0.0"/>
    <numFmt numFmtId="167" formatCode="0.00000"/>
    <numFmt numFmtId="168" formatCode="0.0%"/>
  </numFmts>
  <fonts count="16" x14ac:knownFonts="1">
    <font>
      <sz val="11"/>
      <color theme="1"/>
      <name val="Calibri"/>
      <family val="2"/>
      <charset val="1"/>
    </font>
    <font>
      <b/>
      <sz val="14"/>
      <color rgb="FF1F4E79"/>
      <name val="Arial"/>
      <family val="2"/>
    </font>
    <font>
      <i/>
      <sz val="9"/>
      <color rgb="FF555555"/>
      <name val="Arial"/>
      <family val="2"/>
    </font>
    <font>
      <sz val="9"/>
      <name val="Arial"/>
      <family val="2"/>
    </font>
    <font>
      <b/>
      <sz val="9"/>
      <name val="Arial"/>
      <family val="2"/>
    </font>
    <font>
      <b/>
      <sz val="9"/>
      <color rgb="FF0000FF"/>
      <name val="Arial"/>
      <family val="2"/>
    </font>
    <font>
      <b/>
      <sz val="9"/>
      <color rgb="FFFFFFFF"/>
      <name val="Arial"/>
      <family val="2"/>
    </font>
    <font>
      <i/>
      <sz val="8"/>
      <color rgb="FF555555"/>
      <name val="Arial"/>
      <family val="2"/>
    </font>
    <font>
      <b/>
      <sz val="14"/>
      <color rgb="FF1F4E79"/>
      <name val="Arial"/>
      <family val="2"/>
      <charset val="1"/>
    </font>
    <font>
      <i/>
      <sz val="9"/>
      <color rgb="FF555555"/>
      <name val="Arial"/>
      <family val="2"/>
      <charset val="1"/>
    </font>
    <font>
      <b/>
      <sz val="9"/>
      <color rgb="FFFFFFFF"/>
      <name val="Arial"/>
      <family val="2"/>
      <charset val="1"/>
    </font>
    <font>
      <sz val="9"/>
      <name val="Arial"/>
      <family val="2"/>
      <charset val="1"/>
    </font>
    <font>
      <i/>
      <sz val="9"/>
      <name val="Arial"/>
      <family val="2"/>
      <charset val="1"/>
    </font>
    <font>
      <b/>
      <sz val="9"/>
      <name val="Arial"/>
      <family val="2"/>
      <charset val="1"/>
    </font>
    <font>
      <b/>
      <sz val="8"/>
      <color rgb="FF555555"/>
      <name val="Arial"/>
      <family val="2"/>
      <charset val="1"/>
    </font>
    <font>
      <i/>
      <sz val="8"/>
      <color rgb="FF555555"/>
      <name val="Arial"/>
      <family val="2"/>
      <charset val="1"/>
    </font>
  </fonts>
  <fills count="9">
    <fill>
      <patternFill patternType="none"/>
    </fill>
    <fill>
      <patternFill patternType="gray125"/>
    </fill>
    <fill>
      <patternFill patternType="solid">
        <fgColor rgb="FFD6E4F0"/>
        <bgColor rgb="FFEDEDED"/>
      </patternFill>
    </fill>
    <fill>
      <patternFill patternType="solid">
        <fgColor rgb="FF1F4E79"/>
        <bgColor rgb="FF003366"/>
      </patternFill>
    </fill>
    <fill>
      <patternFill patternType="solid">
        <fgColor rgb="FFF2DCDB"/>
        <bgColor rgb="FFFCE4D6"/>
      </patternFill>
    </fill>
    <fill>
      <patternFill patternType="solid">
        <fgColor rgb="FFFFF2CC"/>
        <bgColor rgb="FFFCE4D6"/>
      </patternFill>
    </fill>
    <fill>
      <patternFill patternType="solid">
        <fgColor rgb="FFEDEDED"/>
        <bgColor rgb="FFFCE4D6"/>
      </patternFill>
    </fill>
    <fill>
      <patternFill patternType="solid">
        <fgColor rgb="FF7D3C98"/>
        <bgColor rgb="FF993366"/>
      </patternFill>
    </fill>
    <fill>
      <patternFill patternType="solid">
        <fgColor rgb="FFFCE4D6"/>
        <bgColor rgb="FFF2DCDB"/>
      </patternFill>
    </fill>
  </fills>
  <borders count="2">
    <border>
      <left/>
      <right/>
      <top/>
      <bottom/>
      <diagonal/>
    </border>
    <border>
      <left style="thin">
        <color rgb="FFB0B0B0"/>
      </left>
      <right style="thin">
        <color rgb="FFB0B0B0"/>
      </right>
      <top style="thin">
        <color rgb="FFB0B0B0"/>
      </top>
      <bottom style="thin">
        <color rgb="FFB0B0B0"/>
      </bottom>
      <diagonal/>
    </border>
  </borders>
  <cellStyleXfs count="1">
    <xf numFmtId="0" fontId="0" fillId="0" borderId="0"/>
  </cellStyleXfs>
  <cellXfs count="47">
    <xf numFmtId="0" fontId="0" fillId="0" borderId="0" xfId="0"/>
    <xf numFmtId="0" fontId="15" fillId="0" borderId="0" xfId="0" applyFont="1"/>
    <xf numFmtId="0" fontId="14" fillId="0" borderId="0" xfId="0" applyFont="1"/>
    <xf numFmtId="0" fontId="9" fillId="0" borderId="0" xfId="0" applyFont="1"/>
    <xf numFmtId="0" fontId="8" fillId="0" borderId="0" xfId="0" applyFont="1"/>
    <xf numFmtId="0" fontId="7" fillId="0" borderId="0" xfId="0" applyFont="1" applyAlignment="1">
      <alignment vertical="top" wrapText="1"/>
    </xf>
    <xf numFmtId="0" fontId="4" fillId="0" borderId="0" xfId="0" applyFont="1" applyAlignment="1">
      <alignment vertical="top" wrapText="1"/>
    </xf>
    <xf numFmtId="0" fontId="3" fillId="0" borderId="0" xfId="0" applyFont="1"/>
    <xf numFmtId="0" fontId="2" fillId="0" borderId="0" xfId="0" applyFont="1" applyAlignment="1">
      <alignment vertical="top" wrapText="1"/>
    </xf>
    <xf numFmtId="0" fontId="1" fillId="0" borderId="0" xfId="0" applyFont="1"/>
    <xf numFmtId="0" fontId="4" fillId="0" borderId="0" xfId="0" applyFont="1"/>
    <xf numFmtId="2" fontId="5" fillId="2" borderId="1" xfId="0" applyNumberFormat="1" applyFont="1" applyFill="1" applyBorder="1"/>
    <xf numFmtId="0" fontId="4" fillId="0" borderId="0" xfId="0" applyFont="1" applyAlignment="1">
      <alignment horizontal="right"/>
    </xf>
    <xf numFmtId="3" fontId="5" fillId="2" borderId="1" xfId="0" applyNumberFormat="1" applyFont="1" applyFill="1" applyBorder="1"/>
    <xf numFmtId="0" fontId="6" fillId="3" borderId="1" xfId="0" applyFont="1" applyFill="1" applyBorder="1" applyAlignment="1">
      <alignment horizontal="center" vertical="center" wrapText="1"/>
    </xf>
    <xf numFmtId="0" fontId="3" fillId="0" borderId="1" xfId="0" applyFont="1" applyBorder="1" applyAlignment="1">
      <alignment horizontal="left"/>
    </xf>
    <xf numFmtId="0" fontId="3" fillId="0" borderId="1" xfId="0" applyFont="1" applyBorder="1" applyAlignment="1">
      <alignment horizontal="center"/>
    </xf>
    <xf numFmtId="164" fontId="3" fillId="0" borderId="1" xfId="0" applyNumberFormat="1" applyFont="1" applyBorder="1" applyAlignment="1">
      <alignment horizontal="center"/>
    </xf>
    <xf numFmtId="3" fontId="3" fillId="0" borderId="1" xfId="0" applyNumberFormat="1" applyFont="1" applyBorder="1" applyAlignment="1">
      <alignment horizontal="right"/>
    </xf>
    <xf numFmtId="165" fontId="3" fillId="0" borderId="1" xfId="0" applyNumberFormat="1" applyFont="1" applyBorder="1" applyAlignment="1">
      <alignment horizontal="right"/>
    </xf>
    <xf numFmtId="3" fontId="3" fillId="4" borderId="1" xfId="0" applyNumberFormat="1" applyFont="1" applyFill="1" applyBorder="1" applyAlignment="1">
      <alignment horizontal="right"/>
    </xf>
    <xf numFmtId="0" fontId="3" fillId="0" borderId="0" xfId="0" applyFont="1"/>
    <xf numFmtId="1" fontId="4" fillId="0" borderId="0" xfId="0" applyNumberFormat="1" applyFont="1" applyAlignment="1">
      <alignment horizontal="right"/>
    </xf>
    <xf numFmtId="165" fontId="4" fillId="0" borderId="0" xfId="0" applyNumberFormat="1" applyFont="1" applyAlignment="1">
      <alignment horizontal="right"/>
    </xf>
    <xf numFmtId="3" fontId="4" fillId="0" borderId="0" xfId="0" applyNumberFormat="1" applyFont="1" applyAlignment="1">
      <alignment horizontal="right"/>
    </xf>
    <xf numFmtId="166" fontId="4" fillId="0" borderId="0" xfId="0" applyNumberFormat="1" applyFont="1" applyAlignment="1">
      <alignment horizontal="right"/>
    </xf>
    <xf numFmtId="0" fontId="3" fillId="0" borderId="1" xfId="0" applyFont="1" applyBorder="1" applyAlignment="1">
      <alignment horizontal="right"/>
    </xf>
    <xf numFmtId="0" fontId="3" fillId="5" borderId="1" xfId="0" applyFont="1" applyFill="1" applyBorder="1" applyAlignment="1">
      <alignment horizontal="left"/>
    </xf>
    <xf numFmtId="0" fontId="3" fillId="6" borderId="1" xfId="0" applyFont="1" applyFill="1" applyBorder="1" applyAlignment="1">
      <alignment horizontal="left"/>
    </xf>
    <xf numFmtId="0" fontId="10" fillId="3" borderId="1"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11" fillId="0" borderId="1" xfId="0" applyFont="1" applyBorder="1"/>
    <xf numFmtId="0" fontId="11" fillId="0" borderId="1" xfId="0" applyFont="1" applyBorder="1" applyAlignment="1">
      <alignment horizontal="center"/>
    </xf>
    <xf numFmtId="3" fontId="12" fillId="0" borderId="1" xfId="0" applyNumberFormat="1" applyFont="1" applyBorder="1" applyAlignment="1">
      <alignment horizontal="right"/>
    </xf>
    <xf numFmtId="165" fontId="11" fillId="0" borderId="1" xfId="0" applyNumberFormat="1" applyFont="1" applyBorder="1" applyAlignment="1">
      <alignment horizontal="right"/>
    </xf>
    <xf numFmtId="3" fontId="11" fillId="0" borderId="1" xfId="0" applyNumberFormat="1" applyFont="1" applyBorder="1" applyAlignment="1">
      <alignment horizontal="right"/>
    </xf>
    <xf numFmtId="167" fontId="11" fillId="0" borderId="1" xfId="0" applyNumberFormat="1" applyFont="1" applyBorder="1" applyAlignment="1">
      <alignment horizontal="right"/>
    </xf>
    <xf numFmtId="164" fontId="11" fillId="0" borderId="1" xfId="0" applyNumberFormat="1" applyFont="1" applyBorder="1" applyAlignment="1">
      <alignment horizontal="right"/>
    </xf>
    <xf numFmtId="2" fontId="11" fillId="0" borderId="1" xfId="0" applyNumberFormat="1" applyFont="1" applyBorder="1" applyAlignment="1">
      <alignment horizontal="right"/>
    </xf>
    <xf numFmtId="168" fontId="11" fillId="2" borderId="1" xfId="0" applyNumberFormat="1" applyFont="1" applyFill="1" applyBorder="1" applyAlignment="1">
      <alignment horizontal="right"/>
    </xf>
    <xf numFmtId="0" fontId="11" fillId="5" borderId="1" xfId="0" applyFont="1" applyFill="1" applyBorder="1" applyAlignment="1">
      <alignment horizontal="center"/>
    </xf>
    <xf numFmtId="164" fontId="11" fillId="0" borderId="1" xfId="0" applyNumberFormat="1" applyFont="1" applyBorder="1" applyAlignment="1">
      <alignment horizontal="center"/>
    </xf>
    <xf numFmtId="168" fontId="11" fillId="5" borderId="1" xfId="0" applyNumberFormat="1" applyFont="1" applyFill="1" applyBorder="1" applyAlignment="1">
      <alignment horizontal="right"/>
    </xf>
    <xf numFmtId="168" fontId="11" fillId="8" borderId="1" xfId="0" applyNumberFormat="1" applyFont="1" applyFill="1" applyBorder="1" applyAlignment="1">
      <alignment horizontal="right"/>
    </xf>
    <xf numFmtId="0" fontId="13" fillId="0" borderId="0" xfId="0" applyFont="1"/>
    <xf numFmtId="3" fontId="13" fillId="0" borderId="0" xfId="0" applyNumberFormat="1" applyFont="1"/>
    <xf numFmtId="168" fontId="13" fillId="0" borderId="0" xfId="0" applyNumberFormat="1" applyFont="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0B0B0"/>
      <rgbColor rgb="FF808080"/>
      <rgbColor rgb="FF9999FF"/>
      <rgbColor rgb="FF7D3C98"/>
      <rgbColor rgb="FFFFF2CC"/>
      <rgbColor rgb="FFEDEDED"/>
      <rgbColor rgb="FF660066"/>
      <rgbColor rgb="FFFF8080"/>
      <rgbColor rgb="FF0066CC"/>
      <rgbColor rgb="FFD6E4F0"/>
      <rgbColor rgb="FF000080"/>
      <rgbColor rgb="FFFF00FF"/>
      <rgbColor rgb="FFFFFF00"/>
      <rgbColor rgb="FF00FFFF"/>
      <rgbColor rgb="FF800080"/>
      <rgbColor rgb="FF800000"/>
      <rgbColor rgb="FF008080"/>
      <rgbColor rgb="FF0000FF"/>
      <rgbColor rgb="FF00CCFF"/>
      <rgbColor rgb="FFCCFFFF"/>
      <rgbColor rgb="FFCCFFCC"/>
      <rgbColor rgb="FFFCE4D6"/>
      <rgbColor rgb="FF99CCFF"/>
      <rgbColor rgb="FFFF99CC"/>
      <rgbColor rgb="FFCC99FF"/>
      <rgbColor rgb="FFF2DCDB"/>
      <rgbColor rgb="FF3366FF"/>
      <rgbColor rgb="FF33CCCC"/>
      <rgbColor rgb="FF99CC00"/>
      <rgbColor rgb="FFFFCC00"/>
      <rgbColor rgb="FFFF9900"/>
      <rgbColor rgb="FFFF6600"/>
      <rgbColor rgb="FF555555"/>
      <rgbColor rgb="FF969696"/>
      <rgbColor rgb="FF003366"/>
      <rgbColor rgb="FF339966"/>
      <rgbColor rgb="FF003300"/>
      <rgbColor rgb="FF333300"/>
      <rgbColor rgb="FF993300"/>
      <rgbColor rgb="FF993366"/>
      <rgbColor rgb="FF1F4E7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zoomScaleNormal="100" workbookViewId="0">
      <pane xSplit="1" ySplit="7" topLeftCell="B8" activePane="bottomRight" state="frozen"/>
      <selection pane="topRight" activeCell="B1" sqref="B1"/>
      <selection pane="bottomLeft" activeCell="A8" sqref="A8"/>
      <selection pane="bottomRight" activeCell="H4" sqref="H1:I1048576"/>
    </sheetView>
  </sheetViews>
  <sheetFormatPr baseColWidth="10" defaultColWidth="8.6640625" defaultRowHeight="15" x14ac:dyDescent="0.2"/>
  <cols>
    <col min="1" max="1" width="19" customWidth="1"/>
    <col min="2" max="2" width="16" customWidth="1"/>
    <col min="3" max="3" width="13" customWidth="1"/>
    <col min="4" max="4" width="14" customWidth="1"/>
    <col min="5" max="5" width="20" customWidth="1"/>
    <col min="6" max="6" width="16" customWidth="1"/>
    <col min="7" max="7" width="12" customWidth="1"/>
  </cols>
  <sheetData>
    <row r="1" spans="1:7" ht="24" customHeight="1" x14ac:dyDescent="0.2">
      <c r="A1" s="9" t="s">
        <v>0</v>
      </c>
      <c r="B1" s="9"/>
      <c r="C1" s="9"/>
      <c r="D1" s="9"/>
      <c r="E1" s="9"/>
      <c r="F1" s="9"/>
      <c r="G1" s="9"/>
    </row>
    <row r="2" spans="1:7" ht="25.5" customHeight="1" x14ac:dyDescent="0.2">
      <c r="A2" s="8" t="s">
        <v>1</v>
      </c>
      <c r="B2" s="8"/>
      <c r="C2" s="8"/>
      <c r="D2" s="8"/>
      <c r="E2" s="8"/>
      <c r="F2" s="8"/>
      <c r="G2" s="8"/>
    </row>
    <row r="3" spans="1:7" ht="25.5" customHeight="1" x14ac:dyDescent="0.2">
      <c r="A3" s="8" t="s">
        <v>2</v>
      </c>
      <c r="B3" s="8"/>
      <c r="C3" s="8"/>
      <c r="D3" s="8"/>
      <c r="E3" s="8"/>
      <c r="F3" s="8"/>
      <c r="G3" s="8"/>
    </row>
    <row r="5" spans="1:7" x14ac:dyDescent="0.2">
      <c r="A5" s="10" t="s">
        <v>3</v>
      </c>
      <c r="C5" s="11">
        <v>0.5</v>
      </c>
      <c r="E5" s="12" t="s">
        <v>4</v>
      </c>
      <c r="F5" s="13">
        <v>500</v>
      </c>
    </row>
    <row r="7" spans="1:7" ht="48" customHeight="1" x14ac:dyDescent="0.2">
      <c r="A7" s="14" t="s">
        <v>5</v>
      </c>
      <c r="B7" s="14" t="s">
        <v>6</v>
      </c>
      <c r="C7" s="14" t="s">
        <v>7</v>
      </c>
      <c r="D7" s="14" t="s">
        <v>8</v>
      </c>
      <c r="E7" s="14" t="s">
        <v>9</v>
      </c>
      <c r="F7" s="14" t="s">
        <v>10</v>
      </c>
      <c r="G7" s="14" t="s">
        <v>11</v>
      </c>
    </row>
    <row r="8" spans="1:7" x14ac:dyDescent="0.2">
      <c r="A8" s="15" t="s">
        <v>13</v>
      </c>
      <c r="B8" s="16" t="s">
        <v>14</v>
      </c>
      <c r="C8" s="17">
        <v>0.88400000000000001</v>
      </c>
      <c r="D8" s="18">
        <v>462527</v>
      </c>
      <c r="E8" s="18">
        <v>9706269</v>
      </c>
      <c r="F8" s="19">
        <f t="shared" ref="F8:F39" si="0">E8/(D8/1000)</f>
        <v>20985.302479639027</v>
      </c>
      <c r="G8" s="16" t="str">
        <f t="shared" ref="G8:G39" si="1">IF(E8&gt;0,"Yes","No")</f>
        <v>Yes</v>
      </c>
    </row>
    <row r="9" spans="1:7" x14ac:dyDescent="0.2">
      <c r="A9" s="15" t="s">
        <v>15</v>
      </c>
      <c r="B9" s="16" t="s">
        <v>14</v>
      </c>
      <c r="C9" s="17">
        <v>0.85499999999999998</v>
      </c>
      <c r="D9" s="18">
        <v>668999</v>
      </c>
      <c r="E9" s="18">
        <v>28129243</v>
      </c>
      <c r="F9" s="19">
        <f t="shared" si="0"/>
        <v>42046.763896508062</v>
      </c>
      <c r="G9" s="16" t="str">
        <f t="shared" si="1"/>
        <v>Yes</v>
      </c>
    </row>
    <row r="10" spans="1:7" x14ac:dyDescent="0.2">
      <c r="A10" s="15" t="s">
        <v>16</v>
      </c>
      <c r="B10" s="16" t="s">
        <v>14</v>
      </c>
      <c r="C10" s="17">
        <v>0.84499999999999997</v>
      </c>
      <c r="D10" s="18">
        <v>1043530</v>
      </c>
      <c r="E10" s="18">
        <v>10221489</v>
      </c>
      <c r="F10" s="19">
        <f t="shared" si="0"/>
        <v>9795.1079508974344</v>
      </c>
      <c r="G10" s="16" t="str">
        <f t="shared" si="1"/>
        <v>Yes</v>
      </c>
    </row>
    <row r="11" spans="1:7" x14ac:dyDescent="0.2">
      <c r="A11" s="15" t="s">
        <v>17</v>
      </c>
      <c r="B11" s="16" t="s">
        <v>14</v>
      </c>
      <c r="C11" s="17">
        <v>0.84399999999999997</v>
      </c>
      <c r="D11" s="18">
        <v>530756</v>
      </c>
      <c r="E11" s="18">
        <v>20757711</v>
      </c>
      <c r="F11" s="19">
        <f t="shared" si="0"/>
        <v>39109.705778173025</v>
      </c>
      <c r="G11" s="16" t="str">
        <f t="shared" si="1"/>
        <v>Yes</v>
      </c>
    </row>
    <row r="12" spans="1:7" x14ac:dyDescent="0.2">
      <c r="A12" s="15" t="s">
        <v>18</v>
      </c>
      <c r="B12" s="16" t="s">
        <v>14</v>
      </c>
      <c r="C12" s="17">
        <v>0.82799999999999996</v>
      </c>
      <c r="D12" s="18">
        <v>721701</v>
      </c>
      <c r="E12" s="18">
        <v>5509064</v>
      </c>
      <c r="F12" s="19">
        <f t="shared" si="0"/>
        <v>7633.4437668785267</v>
      </c>
      <c r="G12" s="16" t="str">
        <f t="shared" si="1"/>
        <v>Yes</v>
      </c>
    </row>
    <row r="13" spans="1:7" x14ac:dyDescent="0.2">
      <c r="A13" s="15" t="s">
        <v>19</v>
      </c>
      <c r="B13" s="16" t="s">
        <v>14</v>
      </c>
      <c r="C13" s="17">
        <v>0.81499999999999995</v>
      </c>
      <c r="D13" s="18">
        <v>725466</v>
      </c>
      <c r="E13" s="18">
        <v>5451664</v>
      </c>
      <c r="F13" s="19">
        <f t="shared" si="0"/>
        <v>7514.7064093975459</v>
      </c>
      <c r="G13" s="16" t="str">
        <f t="shared" si="1"/>
        <v>Yes</v>
      </c>
    </row>
    <row r="14" spans="1:7" x14ac:dyDescent="0.2">
      <c r="A14" s="15" t="s">
        <v>20</v>
      </c>
      <c r="B14" s="16" t="s">
        <v>14</v>
      </c>
      <c r="C14" s="17">
        <v>0.81299999999999994</v>
      </c>
      <c r="D14" s="18">
        <v>317039</v>
      </c>
      <c r="E14" s="18">
        <v>9229402</v>
      </c>
      <c r="F14" s="19">
        <f t="shared" si="0"/>
        <v>29111.251297159026</v>
      </c>
      <c r="G14" s="16" t="str">
        <f t="shared" si="1"/>
        <v>Yes</v>
      </c>
    </row>
    <row r="15" spans="1:7" x14ac:dyDescent="0.2">
      <c r="A15" s="15" t="s">
        <v>21</v>
      </c>
      <c r="B15" s="16" t="s">
        <v>14</v>
      </c>
      <c r="C15" s="17">
        <v>0.81100000000000005</v>
      </c>
      <c r="D15" s="18">
        <v>264057</v>
      </c>
      <c r="E15" s="18">
        <v>2134467</v>
      </c>
      <c r="F15" s="19">
        <f t="shared" si="0"/>
        <v>8083.3570024653764</v>
      </c>
      <c r="G15" s="16" t="str">
        <f t="shared" si="1"/>
        <v>Yes</v>
      </c>
    </row>
    <row r="16" spans="1:7" x14ac:dyDescent="0.2">
      <c r="A16" s="15" t="s">
        <v>22</v>
      </c>
      <c r="B16" s="16" t="s">
        <v>14</v>
      </c>
      <c r="C16" s="17">
        <v>0.79800000000000004</v>
      </c>
      <c r="D16" s="18">
        <v>5050923</v>
      </c>
      <c r="E16" s="18">
        <v>22134646</v>
      </c>
      <c r="F16" s="19">
        <f t="shared" si="0"/>
        <v>4382.2972553729287</v>
      </c>
      <c r="G16" s="16" t="str">
        <f t="shared" si="1"/>
        <v>Yes</v>
      </c>
    </row>
    <row r="17" spans="1:7" x14ac:dyDescent="0.2">
      <c r="A17" s="15" t="s">
        <v>23</v>
      </c>
      <c r="B17" s="16" t="s">
        <v>14</v>
      </c>
      <c r="C17" s="17">
        <v>0.79300000000000004</v>
      </c>
      <c r="D17" s="18">
        <v>1798519</v>
      </c>
      <c r="E17" s="18">
        <v>2253579</v>
      </c>
      <c r="F17" s="19">
        <f t="shared" si="0"/>
        <v>1253.0192897600748</v>
      </c>
      <c r="G17" s="16" t="str">
        <f t="shared" si="1"/>
        <v>Yes</v>
      </c>
    </row>
    <row r="18" spans="1:7" x14ac:dyDescent="0.2">
      <c r="A18" s="15" t="s">
        <v>24</v>
      </c>
      <c r="B18" s="16" t="s">
        <v>14</v>
      </c>
      <c r="C18" s="17">
        <v>0.78800000000000003</v>
      </c>
      <c r="D18" s="18">
        <v>1332768</v>
      </c>
      <c r="E18" s="18">
        <v>15317919</v>
      </c>
      <c r="F18" s="19">
        <f t="shared" si="0"/>
        <v>11493.312414463733</v>
      </c>
      <c r="G18" s="16" t="str">
        <f t="shared" si="1"/>
        <v>Yes</v>
      </c>
    </row>
    <row r="19" spans="1:7" x14ac:dyDescent="0.2">
      <c r="A19" s="15" t="s">
        <v>25</v>
      </c>
      <c r="B19" s="16" t="s">
        <v>26</v>
      </c>
      <c r="C19" s="17">
        <v>0.78</v>
      </c>
      <c r="D19" s="18">
        <v>357371</v>
      </c>
      <c r="E19" s="18">
        <v>14500</v>
      </c>
      <c r="F19" s="19">
        <f t="shared" si="0"/>
        <v>40.574081276880328</v>
      </c>
      <c r="G19" s="16" t="str">
        <f t="shared" si="1"/>
        <v>Yes</v>
      </c>
    </row>
    <row r="20" spans="1:7" x14ac:dyDescent="0.2">
      <c r="A20" s="15" t="s">
        <v>27</v>
      </c>
      <c r="B20" s="16" t="s">
        <v>28</v>
      </c>
      <c r="C20" s="17">
        <v>0.77700000000000002</v>
      </c>
      <c r="D20" s="18">
        <v>391027</v>
      </c>
      <c r="E20" s="18">
        <v>163898</v>
      </c>
      <c r="F20" s="19">
        <f t="shared" si="0"/>
        <v>419.14752689711963</v>
      </c>
      <c r="G20" s="16" t="str">
        <f t="shared" si="1"/>
        <v>Yes</v>
      </c>
    </row>
    <row r="21" spans="1:7" x14ac:dyDescent="0.2">
      <c r="A21" s="15" t="s">
        <v>29</v>
      </c>
      <c r="B21" s="16" t="s">
        <v>14</v>
      </c>
      <c r="C21" s="17">
        <v>0.76800000000000002</v>
      </c>
      <c r="D21" s="18">
        <v>579470</v>
      </c>
      <c r="E21" s="18">
        <v>1462691</v>
      </c>
      <c r="F21" s="19">
        <f t="shared" si="0"/>
        <v>2524.1876197214697</v>
      </c>
      <c r="G21" s="16" t="str">
        <f t="shared" si="1"/>
        <v>Yes</v>
      </c>
    </row>
    <row r="22" spans="1:7" x14ac:dyDescent="0.2">
      <c r="A22" s="15" t="s">
        <v>30</v>
      </c>
      <c r="B22" s="16" t="s">
        <v>14</v>
      </c>
      <c r="C22" s="17">
        <v>0.76</v>
      </c>
      <c r="D22" s="18">
        <v>1906453</v>
      </c>
      <c r="E22" s="18">
        <v>3809919</v>
      </c>
      <c r="F22" s="19">
        <f t="shared" si="0"/>
        <v>1998.4332160299782</v>
      </c>
      <c r="G22" s="16" t="str">
        <f t="shared" si="1"/>
        <v>Yes</v>
      </c>
    </row>
    <row r="23" spans="1:7" x14ac:dyDescent="0.2">
      <c r="A23" s="15" t="s">
        <v>31</v>
      </c>
      <c r="B23" s="16" t="s">
        <v>14</v>
      </c>
      <c r="C23" s="17">
        <v>0.75900000000000001</v>
      </c>
      <c r="D23" s="18">
        <v>346640</v>
      </c>
      <c r="E23" s="18">
        <v>445444</v>
      </c>
      <c r="F23" s="19">
        <f t="shared" si="0"/>
        <v>1285.0334641126242</v>
      </c>
      <c r="G23" s="16" t="str">
        <f t="shared" si="1"/>
        <v>Yes</v>
      </c>
    </row>
    <row r="24" spans="1:7" x14ac:dyDescent="0.2">
      <c r="A24" s="15" t="s">
        <v>32</v>
      </c>
      <c r="B24" s="16" t="s">
        <v>14</v>
      </c>
      <c r="C24" s="17">
        <v>0.74299999999999999</v>
      </c>
      <c r="D24" s="18">
        <v>2319900</v>
      </c>
      <c r="E24" s="18">
        <v>6898873</v>
      </c>
      <c r="F24" s="19">
        <f t="shared" si="0"/>
        <v>2973.7803353592826</v>
      </c>
      <c r="G24" s="16" t="str">
        <f t="shared" si="1"/>
        <v>Yes</v>
      </c>
    </row>
    <row r="25" spans="1:7" x14ac:dyDescent="0.2">
      <c r="A25" s="15" t="s">
        <v>33</v>
      </c>
      <c r="B25" s="16" t="s">
        <v>34</v>
      </c>
      <c r="C25" s="17">
        <v>0.73799999999999999</v>
      </c>
      <c r="D25" s="18">
        <v>4435163</v>
      </c>
      <c r="E25" s="18">
        <v>826042</v>
      </c>
      <c r="F25" s="19">
        <f t="shared" si="0"/>
        <v>186.2483971840494</v>
      </c>
      <c r="G25" s="16" t="str">
        <f t="shared" si="1"/>
        <v>Yes</v>
      </c>
    </row>
    <row r="26" spans="1:7" x14ac:dyDescent="0.2">
      <c r="A26" s="15" t="s">
        <v>35</v>
      </c>
      <c r="B26" s="16" t="s">
        <v>14</v>
      </c>
      <c r="C26" s="17">
        <v>0.71899999999999997</v>
      </c>
      <c r="D26" s="18">
        <v>2551557</v>
      </c>
      <c r="E26" s="18">
        <v>3181355</v>
      </c>
      <c r="F26" s="19">
        <f t="shared" si="0"/>
        <v>1246.8288970224849</v>
      </c>
      <c r="G26" s="16" t="str">
        <f t="shared" si="1"/>
        <v>Yes</v>
      </c>
    </row>
    <row r="27" spans="1:7" x14ac:dyDescent="0.2">
      <c r="A27" s="15" t="s">
        <v>36</v>
      </c>
      <c r="B27" s="16" t="s">
        <v>34</v>
      </c>
      <c r="C27" s="17">
        <v>0.69599999999999995</v>
      </c>
      <c r="D27" s="18">
        <v>1872375</v>
      </c>
      <c r="E27" s="18">
        <v>2972190</v>
      </c>
      <c r="F27" s="19">
        <f t="shared" si="0"/>
        <v>1587.3903464850791</v>
      </c>
      <c r="G27" s="16" t="str">
        <f t="shared" si="1"/>
        <v>Yes</v>
      </c>
    </row>
    <row r="28" spans="1:7" x14ac:dyDescent="0.2">
      <c r="A28" s="15" t="s">
        <v>37</v>
      </c>
      <c r="B28" s="16" t="s">
        <v>28</v>
      </c>
      <c r="C28" s="17">
        <v>0.68100000000000005</v>
      </c>
      <c r="D28" s="18">
        <v>154530</v>
      </c>
      <c r="E28" s="18">
        <v>42438</v>
      </c>
      <c r="F28" s="19">
        <f t="shared" si="0"/>
        <v>274.62628615802754</v>
      </c>
      <c r="G28" s="16" t="str">
        <f t="shared" si="1"/>
        <v>Yes</v>
      </c>
    </row>
    <row r="29" spans="1:7" x14ac:dyDescent="0.2">
      <c r="A29" s="15" t="s">
        <v>38</v>
      </c>
      <c r="B29" s="16" t="s">
        <v>26</v>
      </c>
      <c r="C29" s="17">
        <v>0.63600000000000001</v>
      </c>
      <c r="D29" s="18">
        <v>2279920</v>
      </c>
      <c r="E29" s="18">
        <v>5956</v>
      </c>
      <c r="F29" s="19">
        <f t="shared" si="0"/>
        <v>2.6123723639425944</v>
      </c>
      <c r="G29" s="16" t="str">
        <f t="shared" si="1"/>
        <v>Yes</v>
      </c>
    </row>
    <row r="30" spans="1:7" x14ac:dyDescent="0.2">
      <c r="A30" s="15" t="s">
        <v>39</v>
      </c>
      <c r="B30" s="16" t="s">
        <v>40</v>
      </c>
      <c r="C30" s="17">
        <v>0.62</v>
      </c>
      <c r="D30" s="18">
        <v>427184</v>
      </c>
      <c r="E30" s="20">
        <v>0</v>
      </c>
      <c r="F30" s="19">
        <f t="shared" si="0"/>
        <v>0</v>
      </c>
      <c r="G30" s="16" t="str">
        <f t="shared" si="1"/>
        <v>No</v>
      </c>
    </row>
    <row r="31" spans="1:7" x14ac:dyDescent="0.2">
      <c r="A31" s="15" t="s">
        <v>41</v>
      </c>
      <c r="B31" s="16" t="s">
        <v>26</v>
      </c>
      <c r="C31" s="17">
        <v>0.61399999999999999</v>
      </c>
      <c r="D31" s="18">
        <v>683098</v>
      </c>
      <c r="E31" s="20">
        <v>0</v>
      </c>
      <c r="F31" s="19">
        <f t="shared" si="0"/>
        <v>0</v>
      </c>
      <c r="G31" s="16" t="str">
        <f t="shared" si="1"/>
        <v>No</v>
      </c>
    </row>
    <row r="32" spans="1:7" x14ac:dyDescent="0.2">
      <c r="A32" s="15" t="s">
        <v>42</v>
      </c>
      <c r="B32" s="16" t="s">
        <v>14</v>
      </c>
      <c r="C32" s="17">
        <v>0.58899999999999997</v>
      </c>
      <c r="D32" s="18">
        <v>280636</v>
      </c>
      <c r="E32" s="18">
        <v>218162</v>
      </c>
      <c r="F32" s="19">
        <f t="shared" si="0"/>
        <v>777.38422725523446</v>
      </c>
      <c r="G32" s="16" t="str">
        <f t="shared" si="1"/>
        <v>Yes</v>
      </c>
    </row>
    <row r="33" spans="1:7" x14ac:dyDescent="0.2">
      <c r="A33" s="15" t="s">
        <v>43</v>
      </c>
      <c r="B33" s="16" t="s">
        <v>26</v>
      </c>
      <c r="C33" s="17">
        <v>0.57199999999999995</v>
      </c>
      <c r="D33" s="18">
        <v>334855</v>
      </c>
      <c r="E33" s="18">
        <v>21723</v>
      </c>
      <c r="F33" s="19">
        <f t="shared" si="0"/>
        <v>64.872855415030386</v>
      </c>
      <c r="G33" s="16" t="str">
        <f t="shared" si="1"/>
        <v>Yes</v>
      </c>
    </row>
    <row r="34" spans="1:7" x14ac:dyDescent="0.2">
      <c r="A34" s="15" t="s">
        <v>44</v>
      </c>
      <c r="B34" s="16" t="s">
        <v>26</v>
      </c>
      <c r="C34" s="17">
        <v>0.54800000000000004</v>
      </c>
      <c r="D34" s="18">
        <v>457410</v>
      </c>
      <c r="E34" s="20">
        <v>0</v>
      </c>
      <c r="F34" s="19">
        <f t="shared" si="0"/>
        <v>0</v>
      </c>
      <c r="G34" s="16" t="str">
        <f t="shared" si="1"/>
        <v>No</v>
      </c>
    </row>
    <row r="35" spans="1:7" x14ac:dyDescent="0.2">
      <c r="A35" s="15" t="s">
        <v>45</v>
      </c>
      <c r="B35" s="16" t="s">
        <v>28</v>
      </c>
      <c r="C35" s="17">
        <v>0.51400000000000001</v>
      </c>
      <c r="D35" s="18">
        <v>428678</v>
      </c>
      <c r="E35" s="18">
        <v>9913</v>
      </c>
      <c r="F35" s="19">
        <f t="shared" si="0"/>
        <v>23.124583020355605</v>
      </c>
      <c r="G35" s="16" t="str">
        <f t="shared" si="1"/>
        <v>Yes</v>
      </c>
    </row>
    <row r="36" spans="1:7" x14ac:dyDescent="0.2">
      <c r="A36" s="15" t="s">
        <v>46</v>
      </c>
      <c r="B36" s="16" t="s">
        <v>28</v>
      </c>
      <c r="C36" s="17">
        <v>0.51100000000000001</v>
      </c>
      <c r="D36" s="18">
        <v>1035492</v>
      </c>
      <c r="E36" s="18">
        <v>504088</v>
      </c>
      <c r="F36" s="19">
        <f t="shared" si="0"/>
        <v>486.81013469925409</v>
      </c>
      <c r="G36" s="16" t="str">
        <f t="shared" si="1"/>
        <v>Yes</v>
      </c>
    </row>
    <row r="37" spans="1:7" x14ac:dyDescent="0.2">
      <c r="A37" s="15" t="s">
        <v>47</v>
      </c>
      <c r="B37" s="16" t="s">
        <v>34</v>
      </c>
      <c r="C37" s="17">
        <v>0.35299999999999998</v>
      </c>
      <c r="D37" s="18">
        <v>1445643</v>
      </c>
      <c r="E37" s="18">
        <v>40000</v>
      </c>
      <c r="F37" s="19">
        <f t="shared" si="0"/>
        <v>27.6693485182718</v>
      </c>
      <c r="G37" s="16" t="str">
        <f t="shared" si="1"/>
        <v>Yes</v>
      </c>
    </row>
    <row r="38" spans="1:7" x14ac:dyDescent="0.2">
      <c r="A38" s="15" t="s">
        <v>48</v>
      </c>
      <c r="B38" s="16" t="s">
        <v>34</v>
      </c>
      <c r="C38" s="17">
        <v>0.34</v>
      </c>
      <c r="D38" s="18">
        <v>603870</v>
      </c>
      <c r="E38" s="18">
        <v>15000</v>
      </c>
      <c r="F38" s="19">
        <f t="shared" si="0"/>
        <v>24.839783397088777</v>
      </c>
      <c r="G38" s="16" t="str">
        <f t="shared" si="1"/>
        <v>Yes</v>
      </c>
    </row>
    <row r="39" spans="1:7" x14ac:dyDescent="0.2">
      <c r="A39" s="15" t="s">
        <v>49</v>
      </c>
      <c r="B39" s="16" t="s">
        <v>34</v>
      </c>
      <c r="C39" s="17">
        <v>0.33800000000000002</v>
      </c>
      <c r="D39" s="18">
        <v>472193</v>
      </c>
      <c r="E39" s="18">
        <v>30000</v>
      </c>
      <c r="F39" s="19">
        <f t="shared" si="0"/>
        <v>63.533343357483062</v>
      </c>
      <c r="G39" s="16" t="str">
        <f t="shared" si="1"/>
        <v>Yes</v>
      </c>
    </row>
    <row r="40" spans="1:7" x14ac:dyDescent="0.2">
      <c r="A40" s="15" t="s">
        <v>50</v>
      </c>
      <c r="B40" s="16" t="s">
        <v>28</v>
      </c>
      <c r="C40" s="17">
        <v>0.32900000000000001</v>
      </c>
      <c r="D40" s="18">
        <v>246490</v>
      </c>
      <c r="E40" s="18">
        <v>17247</v>
      </c>
      <c r="F40" s="19">
        <f t="shared" ref="F40:F71" si="2">E40/(D40/1000)</f>
        <v>69.970384194084957</v>
      </c>
      <c r="G40" s="16" t="str">
        <f t="shared" ref="G40:G58" si="3">IF(E40&gt;0,"Yes","No")</f>
        <v>Yes</v>
      </c>
    </row>
    <row r="41" spans="1:7" x14ac:dyDescent="0.2">
      <c r="A41" s="15" t="s">
        <v>51</v>
      </c>
      <c r="B41" s="16" t="s">
        <v>40</v>
      </c>
      <c r="C41" s="17">
        <v>0.31900000000000001</v>
      </c>
      <c r="D41" s="18">
        <v>290794</v>
      </c>
      <c r="E41" s="20">
        <v>0</v>
      </c>
      <c r="F41" s="19">
        <f t="shared" si="2"/>
        <v>0</v>
      </c>
      <c r="G41" s="16" t="str">
        <f t="shared" si="3"/>
        <v>No</v>
      </c>
    </row>
    <row r="42" spans="1:7" x14ac:dyDescent="0.2">
      <c r="A42" s="15" t="s">
        <v>52</v>
      </c>
      <c r="B42" s="16" t="s">
        <v>26</v>
      </c>
      <c r="C42" s="17">
        <v>0.29399999999999998</v>
      </c>
      <c r="D42" s="18">
        <v>1832641</v>
      </c>
      <c r="E42" s="18">
        <v>139645</v>
      </c>
      <c r="F42" s="19">
        <f t="shared" si="2"/>
        <v>76.198775428466348</v>
      </c>
      <c r="G42" s="16" t="str">
        <f t="shared" si="3"/>
        <v>Yes</v>
      </c>
    </row>
    <row r="43" spans="1:7" x14ac:dyDescent="0.2">
      <c r="A43" s="15" t="s">
        <v>53</v>
      </c>
      <c r="B43" s="16" t="s">
        <v>34</v>
      </c>
      <c r="C43" s="17">
        <v>0.28599999999999998</v>
      </c>
      <c r="D43" s="18">
        <v>487086</v>
      </c>
      <c r="E43" s="18">
        <v>130000</v>
      </c>
      <c r="F43" s="19">
        <f t="shared" si="2"/>
        <v>266.89332068669597</v>
      </c>
      <c r="G43" s="16" t="str">
        <f t="shared" si="3"/>
        <v>Yes</v>
      </c>
    </row>
    <row r="44" spans="1:7" x14ac:dyDescent="0.2">
      <c r="A44" s="15" t="s">
        <v>54</v>
      </c>
      <c r="B44" s="16" t="s">
        <v>28</v>
      </c>
      <c r="C44" s="17">
        <v>0.253</v>
      </c>
      <c r="D44" s="18">
        <v>214233</v>
      </c>
      <c r="E44" s="20">
        <v>0</v>
      </c>
      <c r="F44" s="19">
        <f t="shared" si="2"/>
        <v>0</v>
      </c>
      <c r="G44" s="16" t="str">
        <f t="shared" si="3"/>
        <v>No</v>
      </c>
    </row>
    <row r="45" spans="1:7" x14ac:dyDescent="0.2">
      <c r="A45" s="15" t="s">
        <v>55</v>
      </c>
      <c r="B45" s="16" t="s">
        <v>34</v>
      </c>
      <c r="C45" s="17">
        <v>0.25</v>
      </c>
      <c r="D45" s="18">
        <v>577010</v>
      </c>
      <c r="E45" s="18">
        <v>60000</v>
      </c>
      <c r="F45" s="19">
        <f t="shared" si="2"/>
        <v>103.98433302715725</v>
      </c>
      <c r="G45" s="16" t="str">
        <f t="shared" si="3"/>
        <v>Yes</v>
      </c>
    </row>
    <row r="46" spans="1:7" x14ac:dyDescent="0.2">
      <c r="A46" s="15" t="s">
        <v>56</v>
      </c>
      <c r="B46" s="16" t="s">
        <v>40</v>
      </c>
      <c r="C46" s="17">
        <v>0.249</v>
      </c>
      <c r="D46" s="18">
        <v>182374</v>
      </c>
      <c r="E46" s="18">
        <v>340000</v>
      </c>
      <c r="F46" s="19">
        <f t="shared" si="2"/>
        <v>1864.3008323554893</v>
      </c>
      <c r="G46" s="16" t="str">
        <f t="shared" si="3"/>
        <v>Yes</v>
      </c>
    </row>
    <row r="47" spans="1:7" x14ac:dyDescent="0.2">
      <c r="A47" s="15" t="s">
        <v>57</v>
      </c>
      <c r="B47" s="16" t="s">
        <v>34</v>
      </c>
      <c r="C47" s="17">
        <v>0.23100000000000001</v>
      </c>
      <c r="D47" s="18">
        <v>157209</v>
      </c>
      <c r="E47" s="18">
        <v>442215</v>
      </c>
      <c r="F47" s="19">
        <f t="shared" si="2"/>
        <v>2812.9114745339007</v>
      </c>
      <c r="G47" s="16" t="str">
        <f t="shared" si="3"/>
        <v>Yes</v>
      </c>
    </row>
    <row r="48" spans="1:7" x14ac:dyDescent="0.2">
      <c r="A48" s="15" t="s">
        <v>58</v>
      </c>
      <c r="B48" s="16" t="s">
        <v>34</v>
      </c>
      <c r="C48" s="17">
        <v>0.21199999999999999</v>
      </c>
      <c r="D48" s="18">
        <v>254367</v>
      </c>
      <c r="E48" s="20">
        <v>0</v>
      </c>
      <c r="F48" s="19">
        <f t="shared" si="2"/>
        <v>0</v>
      </c>
      <c r="G48" s="16" t="str">
        <f t="shared" si="3"/>
        <v>No</v>
      </c>
    </row>
    <row r="49" spans="1:7" x14ac:dyDescent="0.2">
      <c r="A49" s="15" t="s">
        <v>59</v>
      </c>
      <c r="B49" s="16" t="s">
        <v>34</v>
      </c>
      <c r="C49" s="17">
        <v>0.13200000000000001</v>
      </c>
      <c r="D49" s="18">
        <v>306239</v>
      </c>
      <c r="E49" s="18">
        <v>83000</v>
      </c>
      <c r="F49" s="19">
        <f t="shared" si="2"/>
        <v>271.03014312350814</v>
      </c>
      <c r="G49" s="16" t="str">
        <f t="shared" si="3"/>
        <v>Yes</v>
      </c>
    </row>
    <row r="50" spans="1:7" x14ac:dyDescent="0.2">
      <c r="A50" s="15" t="s">
        <v>60</v>
      </c>
      <c r="B50" s="16" t="s">
        <v>40</v>
      </c>
      <c r="C50" s="17">
        <v>0.127</v>
      </c>
      <c r="D50" s="18">
        <v>287031</v>
      </c>
      <c r="E50" s="18">
        <v>100000</v>
      </c>
      <c r="F50" s="19">
        <f t="shared" si="2"/>
        <v>348.39442429563354</v>
      </c>
      <c r="G50" s="16" t="str">
        <f t="shared" si="3"/>
        <v>Yes</v>
      </c>
    </row>
    <row r="51" spans="1:7" x14ac:dyDescent="0.2">
      <c r="A51" s="15" t="s">
        <v>61</v>
      </c>
      <c r="B51" s="16" t="s">
        <v>40</v>
      </c>
      <c r="C51" s="17">
        <v>0.12</v>
      </c>
      <c r="D51" s="18">
        <v>365255</v>
      </c>
      <c r="E51" s="18">
        <v>6000</v>
      </c>
      <c r="F51" s="19">
        <f t="shared" si="2"/>
        <v>16.426879851062957</v>
      </c>
      <c r="G51" s="16" t="str">
        <f t="shared" si="3"/>
        <v>Yes</v>
      </c>
    </row>
    <row r="52" spans="1:7" x14ac:dyDescent="0.2">
      <c r="A52" s="15" t="s">
        <v>62</v>
      </c>
      <c r="B52" s="16" t="s">
        <v>14</v>
      </c>
      <c r="C52" s="17">
        <v>0.11</v>
      </c>
      <c r="D52" s="18">
        <v>1597293</v>
      </c>
      <c r="E52" s="18">
        <v>224000</v>
      </c>
      <c r="F52" s="19">
        <f t="shared" si="2"/>
        <v>140.23726392089617</v>
      </c>
      <c r="G52" s="16" t="str">
        <f t="shared" si="3"/>
        <v>Yes</v>
      </c>
    </row>
    <row r="53" spans="1:7" x14ac:dyDescent="0.2">
      <c r="A53" s="15" t="s">
        <v>63</v>
      </c>
      <c r="B53" s="16" t="s">
        <v>34</v>
      </c>
      <c r="C53" s="17">
        <v>0.107</v>
      </c>
      <c r="D53" s="18">
        <v>514697</v>
      </c>
      <c r="E53" s="20">
        <v>0</v>
      </c>
      <c r="F53" s="19">
        <f t="shared" si="2"/>
        <v>0</v>
      </c>
      <c r="G53" s="16" t="str">
        <f t="shared" si="3"/>
        <v>No</v>
      </c>
    </row>
    <row r="54" spans="1:7" x14ac:dyDescent="0.2">
      <c r="A54" s="15" t="s">
        <v>64</v>
      </c>
      <c r="B54" s="16" t="s">
        <v>34</v>
      </c>
      <c r="C54" s="17">
        <v>9.8000000000000004E-2</v>
      </c>
      <c r="D54" s="18">
        <v>456319</v>
      </c>
      <c r="E54" s="18">
        <v>2000</v>
      </c>
      <c r="F54" s="19">
        <f t="shared" si="2"/>
        <v>4.3828988054409308</v>
      </c>
      <c r="G54" s="16" t="str">
        <f t="shared" si="3"/>
        <v>Yes</v>
      </c>
    </row>
    <row r="55" spans="1:7" x14ac:dyDescent="0.2">
      <c r="A55" s="15" t="s">
        <v>65</v>
      </c>
      <c r="B55" s="16" t="s">
        <v>34</v>
      </c>
      <c r="C55" s="17">
        <v>8.6999999999999994E-2</v>
      </c>
      <c r="D55" s="18">
        <v>362682</v>
      </c>
      <c r="E55" s="20">
        <v>0</v>
      </c>
      <c r="F55" s="19">
        <f t="shared" si="2"/>
        <v>0</v>
      </c>
      <c r="G55" s="16" t="str">
        <f t="shared" si="3"/>
        <v>No</v>
      </c>
    </row>
    <row r="56" spans="1:7" x14ac:dyDescent="0.2">
      <c r="A56" s="15" t="s">
        <v>66</v>
      </c>
      <c r="B56" s="16" t="s">
        <v>34</v>
      </c>
      <c r="C56" s="17">
        <v>8.5999999999999993E-2</v>
      </c>
      <c r="D56" s="18">
        <v>215560</v>
      </c>
      <c r="E56" s="18">
        <v>854000</v>
      </c>
      <c r="F56" s="19">
        <f t="shared" si="2"/>
        <v>3961.7739840415661</v>
      </c>
      <c r="G56" s="16" t="str">
        <f t="shared" si="3"/>
        <v>Yes</v>
      </c>
    </row>
    <row r="57" spans="1:7" x14ac:dyDescent="0.2">
      <c r="A57" s="15" t="s">
        <v>67</v>
      </c>
      <c r="B57" s="16" t="s">
        <v>34</v>
      </c>
      <c r="C57" s="17">
        <v>0.08</v>
      </c>
      <c r="D57" s="18">
        <v>552325</v>
      </c>
      <c r="E57" s="18">
        <v>423268</v>
      </c>
      <c r="F57" s="19">
        <f t="shared" si="2"/>
        <v>766.33865930385184</v>
      </c>
      <c r="G57" s="16" t="str">
        <f t="shared" si="3"/>
        <v>Yes</v>
      </c>
    </row>
    <row r="58" spans="1:7" x14ac:dyDescent="0.2">
      <c r="A58" s="15" t="s">
        <v>68</v>
      </c>
      <c r="B58" s="16" t="s">
        <v>34</v>
      </c>
      <c r="C58" s="17">
        <v>4.5999999999999999E-2</v>
      </c>
      <c r="D58" s="18">
        <v>1276943</v>
      </c>
      <c r="E58" s="18">
        <v>2450853</v>
      </c>
      <c r="F58" s="19">
        <f t="shared" si="2"/>
        <v>1919.3127649393905</v>
      </c>
      <c r="G58" s="16" t="str">
        <f t="shared" si="3"/>
        <v>Yes</v>
      </c>
    </row>
    <row r="60" spans="1:7" x14ac:dyDescent="0.2">
      <c r="A60" s="10" t="s">
        <v>69</v>
      </c>
    </row>
    <row r="61" spans="1:7" x14ac:dyDescent="0.2">
      <c r="A61" s="7" t="s">
        <v>70</v>
      </c>
      <c r="B61" s="7"/>
      <c r="C61" s="7"/>
      <c r="D61" s="7"/>
      <c r="E61" s="22">
        <f>COUNTA(A8:A58)</f>
        <v>51</v>
      </c>
    </row>
    <row r="62" spans="1:7" x14ac:dyDescent="0.2">
      <c r="A62" s="7" t="s">
        <v>71</v>
      </c>
      <c r="B62" s="7"/>
      <c r="C62" s="7"/>
      <c r="D62" s="7"/>
      <c r="E62" s="22">
        <f>COUNTIF(G8:G58,"No")</f>
        <v>8</v>
      </c>
    </row>
    <row r="63" spans="1:7" x14ac:dyDescent="0.2">
      <c r="A63" s="7" t="s">
        <v>72</v>
      </c>
      <c r="B63" s="7"/>
      <c r="C63" s="7"/>
      <c r="D63" s="7"/>
      <c r="E63" s="22" t="e">
        <f>COUNTIF(#REF!,"Yes")</f>
        <v>#REF!</v>
      </c>
    </row>
    <row r="64" spans="1:7" x14ac:dyDescent="0.2">
      <c r="A64" s="7" t="s">
        <v>73</v>
      </c>
      <c r="B64" s="7"/>
      <c r="C64" s="7"/>
      <c r="D64" s="7"/>
      <c r="E64" s="22" t="e">
        <f>COUNTIF(#REF!,"Democratic champion")</f>
        <v>#REF!</v>
      </c>
    </row>
    <row r="65" spans="1:7" x14ac:dyDescent="0.2">
      <c r="A65" s="7" t="s">
        <v>74</v>
      </c>
      <c r="B65" s="7"/>
      <c r="C65" s="7"/>
      <c r="D65" s="7"/>
      <c r="E65" s="22" t="e">
        <f>COUNTIF(#REF!,"Unrealised potential")</f>
        <v>#REF!</v>
      </c>
    </row>
    <row r="66" spans="1:7" x14ac:dyDescent="0.2">
      <c r="A66" s="7" t="s">
        <v>75</v>
      </c>
      <c r="B66" s="7"/>
      <c r="C66" s="7"/>
      <c r="D66" s="7"/>
      <c r="E66" s="22" t="e">
        <f>COUNTIF(#REF!,"Strategic contributor")</f>
        <v>#REF!</v>
      </c>
    </row>
    <row r="67" spans="1:7" x14ac:dyDescent="0.2">
      <c r="A67" s="7" t="s">
        <v>76</v>
      </c>
      <c r="B67" s="7"/>
      <c r="C67" s="7"/>
      <c r="D67" s="7"/>
      <c r="E67" s="22" t="e">
        <f>COUNTIF(#REF!,"Absent")</f>
        <v>#REF!</v>
      </c>
    </row>
    <row r="68" spans="1:7" x14ac:dyDescent="0.2">
      <c r="A68" s="7" t="s">
        <v>77</v>
      </c>
      <c r="B68" s="7"/>
      <c r="C68" s="7"/>
      <c r="D68" s="7"/>
      <c r="E68" s="23">
        <f>MEDIAN(F8:F58)</f>
        <v>348.39442429563354</v>
      </c>
    </row>
    <row r="69" spans="1:7" x14ac:dyDescent="0.2">
      <c r="A69" s="7" t="s">
        <v>78</v>
      </c>
      <c r="B69" s="7"/>
      <c r="C69" s="7"/>
      <c r="D69" s="7"/>
      <c r="E69" s="24">
        <f>SUM(E8:E58)</f>
        <v>156779873</v>
      </c>
    </row>
    <row r="70" spans="1:7" x14ac:dyDescent="0.2">
      <c r="A70" s="7" t="s">
        <v>79</v>
      </c>
      <c r="B70" s="7"/>
      <c r="C70" s="7"/>
      <c r="D70" s="7"/>
      <c r="E70" s="25">
        <f>SUMIF(B8:B58,"WEOG",E8:E58)/SUM(E8:E58)*100</f>
        <v>93.816823668430956</v>
      </c>
      <c r="F70" s="21" t="s">
        <v>80</v>
      </c>
    </row>
    <row r="72" spans="1:7" x14ac:dyDescent="0.2">
      <c r="A72" s="10" t="s">
        <v>81</v>
      </c>
    </row>
    <row r="73" spans="1:7" ht="36" customHeight="1" x14ac:dyDescent="0.2">
      <c r="A73" s="14" t="s">
        <v>6</v>
      </c>
      <c r="B73" s="14" t="s">
        <v>82</v>
      </c>
      <c r="C73" s="14" t="s">
        <v>12</v>
      </c>
      <c r="D73" s="14" t="s">
        <v>83</v>
      </c>
      <c r="E73" s="14" t="s">
        <v>84</v>
      </c>
      <c r="F73" s="14" t="s">
        <v>10</v>
      </c>
    </row>
    <row r="74" spans="1:7" x14ac:dyDescent="0.2">
      <c r="A74" s="15" t="s">
        <v>14</v>
      </c>
      <c r="B74" s="26">
        <f>COUNTIF($B$8:$B$58,A74)</f>
        <v>18</v>
      </c>
      <c r="C74" s="26" t="e">
        <f>COUNTIFS($B$8:$B$58,A74,#REF!,"Yes")</f>
        <v>#REF!</v>
      </c>
      <c r="D74" s="18">
        <f>SUMIF($B$8:$B$58,A74,$E$8:$E$58)</f>
        <v>147085897</v>
      </c>
      <c r="E74" s="18">
        <f>SUMIF($B$8:$B$58,A74,$D$8:$D$58)</f>
        <v>22498234</v>
      </c>
      <c r="F74" s="19">
        <f>D74/(E74/1000)</f>
        <v>6537.6641117698391</v>
      </c>
    </row>
    <row r="75" spans="1:7" x14ac:dyDescent="0.2">
      <c r="A75" s="15" t="s">
        <v>34</v>
      </c>
      <c r="B75" s="26">
        <f>COUNTIF($B$8:$B$58,A75)</f>
        <v>16</v>
      </c>
      <c r="C75" s="26" t="e">
        <f>COUNTIFS($B$8:$B$58,A75,#REF!,"Yes")</f>
        <v>#REF!</v>
      </c>
      <c r="D75" s="18">
        <f>SUMIF($B$8:$B$58,A75,$E$8:$E$58)</f>
        <v>8328568</v>
      </c>
      <c r="E75" s="18">
        <f>SUMIF($B$8:$B$58,A75,$D$8:$D$58)</f>
        <v>13989681</v>
      </c>
      <c r="F75" s="19">
        <f>D75/(E75/1000)</f>
        <v>595.33651982486231</v>
      </c>
    </row>
    <row r="76" spans="1:7" x14ac:dyDescent="0.2">
      <c r="A76" s="15" t="s">
        <v>28</v>
      </c>
      <c r="B76" s="26">
        <f>COUNTIF($B$8:$B$58,A76)</f>
        <v>6</v>
      </c>
      <c r="C76" s="26" t="e">
        <f>COUNTIFS($B$8:$B$58,A76,#REF!,"Yes")</f>
        <v>#REF!</v>
      </c>
      <c r="D76" s="18">
        <f>SUMIF($B$8:$B$58,A76,$E$8:$E$58)</f>
        <v>737584</v>
      </c>
      <c r="E76" s="18">
        <f>SUMIF($B$8:$B$58,A76,$D$8:$D$58)</f>
        <v>2470450</v>
      </c>
      <c r="F76" s="19">
        <f>D76/(E76/1000)</f>
        <v>298.56261005080046</v>
      </c>
    </row>
    <row r="77" spans="1:7" x14ac:dyDescent="0.2">
      <c r="A77" s="15" t="s">
        <v>40</v>
      </c>
      <c r="B77" s="26">
        <f>COUNTIF($B$8:$B$58,A77)</f>
        <v>5</v>
      </c>
      <c r="C77" s="26" t="e">
        <f>COUNTIFS($B$8:$B$58,A77,#REF!,"Yes")</f>
        <v>#REF!</v>
      </c>
      <c r="D77" s="18">
        <f>SUMIF($B$8:$B$58,A77,$E$8:$E$58)</f>
        <v>446000</v>
      </c>
      <c r="E77" s="18">
        <f>SUMIF($B$8:$B$58,A77,$D$8:$D$58)</f>
        <v>1552638</v>
      </c>
      <c r="F77" s="19">
        <f>D77/(E77/1000)</f>
        <v>287.25304932637232</v>
      </c>
    </row>
    <row r="78" spans="1:7" x14ac:dyDescent="0.2">
      <c r="A78" s="15" t="s">
        <v>26</v>
      </c>
      <c r="B78" s="26">
        <f>COUNTIF($B$8:$B$58,A78)</f>
        <v>6</v>
      </c>
      <c r="C78" s="26" t="e">
        <f>COUNTIFS($B$8:$B$58,A78,#REF!,"Yes")</f>
        <v>#REF!</v>
      </c>
      <c r="D78" s="18">
        <f>SUMIF($B$8:$B$58,A78,$E$8:$E$58)</f>
        <v>181824</v>
      </c>
      <c r="E78" s="18">
        <f>SUMIF($B$8:$B$58,A78,$D$8:$D$58)</f>
        <v>5945295</v>
      </c>
      <c r="F78" s="19">
        <f>D78/(E78/1000)</f>
        <v>30.582839034900708</v>
      </c>
    </row>
    <row r="80" spans="1:7" ht="13.5" customHeight="1" x14ac:dyDescent="0.2">
      <c r="A80" s="6" t="s">
        <v>85</v>
      </c>
      <c r="B80" s="6"/>
      <c r="C80" s="6"/>
      <c r="D80" s="6"/>
      <c r="E80" s="6"/>
      <c r="F80" s="6"/>
      <c r="G80" s="6"/>
    </row>
    <row r="81" spans="1:7" ht="24" customHeight="1" x14ac:dyDescent="0.2">
      <c r="A81" s="5" t="s">
        <v>86</v>
      </c>
      <c r="B81" s="5"/>
      <c r="C81" s="5"/>
      <c r="D81" s="5"/>
      <c r="E81" s="5"/>
      <c r="F81" s="5"/>
      <c r="G81" s="5"/>
    </row>
    <row r="82" spans="1:7" ht="13.5" customHeight="1" x14ac:dyDescent="0.2">
      <c r="A82" s="5" t="s">
        <v>87</v>
      </c>
      <c r="B82" s="5"/>
      <c r="C82" s="5"/>
      <c r="D82" s="5"/>
      <c r="E82" s="5"/>
      <c r="F82" s="5"/>
      <c r="G82" s="5"/>
    </row>
    <row r="83" spans="1:7" ht="24" customHeight="1" x14ac:dyDescent="0.2">
      <c r="A83" s="5" t="s">
        <v>88</v>
      </c>
      <c r="B83" s="5"/>
      <c r="C83" s="5"/>
      <c r="D83" s="5"/>
      <c r="E83" s="5"/>
      <c r="F83" s="5"/>
      <c r="G83" s="5"/>
    </row>
    <row r="84" spans="1:7" ht="13.5" customHeight="1" x14ac:dyDescent="0.2">
      <c r="A84" s="5" t="s">
        <v>89</v>
      </c>
      <c r="B84" s="5"/>
      <c r="C84" s="5"/>
      <c r="D84" s="5"/>
      <c r="E84" s="5"/>
      <c r="F84" s="5"/>
      <c r="G84" s="5"/>
    </row>
    <row r="85" spans="1:7" ht="13.5" customHeight="1" x14ac:dyDescent="0.2">
      <c r="A85" s="5" t="s">
        <v>90</v>
      </c>
      <c r="B85" s="5"/>
      <c r="C85" s="5"/>
      <c r="D85" s="5"/>
      <c r="E85" s="5"/>
      <c r="F85" s="5"/>
      <c r="G85" s="5"/>
    </row>
    <row r="86" spans="1:7" ht="13.5" customHeight="1" x14ac:dyDescent="0.2">
      <c r="A86" s="5" t="s">
        <v>91</v>
      </c>
      <c r="B86" s="5"/>
      <c r="C86" s="5"/>
      <c r="D86" s="5"/>
      <c r="E86" s="5"/>
      <c r="F86" s="5"/>
      <c r="G86" s="5"/>
    </row>
  </sheetData>
  <autoFilter ref="A7:G58" xr:uid="{00000000-0009-0000-0000-000001000000}"/>
  <mergeCells count="20">
    <mergeCell ref="A82:G82"/>
    <mergeCell ref="A83:G83"/>
    <mergeCell ref="A84:G84"/>
    <mergeCell ref="A85:G85"/>
    <mergeCell ref="A86:G86"/>
    <mergeCell ref="A68:D68"/>
    <mergeCell ref="A69:D69"/>
    <mergeCell ref="A70:D70"/>
    <mergeCell ref="A80:G80"/>
    <mergeCell ref="A81:G81"/>
    <mergeCell ref="A63:D63"/>
    <mergeCell ref="A64:D64"/>
    <mergeCell ref="A65:D65"/>
    <mergeCell ref="A66:D66"/>
    <mergeCell ref="A67:D67"/>
    <mergeCell ref="A1:G1"/>
    <mergeCell ref="A2:G2"/>
    <mergeCell ref="A3:G3"/>
    <mergeCell ref="A61:D61"/>
    <mergeCell ref="A62:D62"/>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05"/>
  <sheetViews>
    <sheetView zoomScaleNormal="100" workbookViewId="0">
      <pane xSplit="2" ySplit="7" topLeftCell="C8" activePane="bottomRight" state="frozen"/>
      <selection pane="topRight" activeCell="C1" sqref="C1"/>
      <selection pane="bottomLeft" activeCell="A8" sqref="A8"/>
      <selection pane="bottomRight" sqref="A1:J1"/>
    </sheetView>
  </sheetViews>
  <sheetFormatPr baseColWidth="10" defaultColWidth="8.6640625" defaultRowHeight="15" x14ac:dyDescent="0.2"/>
  <cols>
    <col min="1" max="1" width="9" customWidth="1"/>
    <col min="2" max="2" width="20" customWidth="1"/>
    <col min="3" max="3" width="15" customWidth="1"/>
    <col min="4" max="4" width="14" customWidth="1"/>
    <col min="5" max="6" width="13" customWidth="1"/>
    <col min="7" max="7" width="12" customWidth="1"/>
    <col min="8" max="8" width="11" customWidth="1"/>
    <col min="9" max="9" width="12" customWidth="1"/>
    <col min="10" max="10" width="34" customWidth="1"/>
  </cols>
  <sheetData>
    <row r="1" spans="1:10" ht="24" customHeight="1" x14ac:dyDescent="0.2">
      <c r="A1" s="9" t="s">
        <v>92</v>
      </c>
      <c r="B1" s="9"/>
      <c r="C1" s="9"/>
      <c r="D1" s="9"/>
      <c r="E1" s="9"/>
      <c r="F1" s="9"/>
      <c r="G1" s="9"/>
      <c r="H1" s="9"/>
      <c r="I1" s="9"/>
      <c r="J1" s="9"/>
    </row>
    <row r="2" spans="1:10" ht="25.5" customHeight="1" x14ac:dyDescent="0.2">
      <c r="A2" s="8" t="s">
        <v>93</v>
      </c>
      <c r="B2" s="8"/>
      <c r="C2" s="8"/>
      <c r="D2" s="8"/>
      <c r="E2" s="8"/>
      <c r="F2" s="8"/>
      <c r="G2" s="8"/>
      <c r="H2" s="8"/>
      <c r="I2" s="8"/>
      <c r="J2" s="8"/>
    </row>
    <row r="3" spans="1:10" ht="25.5" customHeight="1" x14ac:dyDescent="0.2">
      <c r="A3" s="8" t="s">
        <v>94</v>
      </c>
      <c r="B3" s="8"/>
      <c r="C3" s="8"/>
      <c r="D3" s="8"/>
      <c r="E3" s="8"/>
      <c r="F3" s="8"/>
      <c r="G3" s="8"/>
      <c r="H3" s="8"/>
      <c r="I3" s="8"/>
      <c r="J3" s="8"/>
    </row>
    <row r="5" spans="1:10" x14ac:dyDescent="0.2">
      <c r="A5" s="10" t="s">
        <v>95</v>
      </c>
      <c r="C5" s="13">
        <v>150000</v>
      </c>
    </row>
    <row r="7" spans="1:10" ht="48" customHeight="1" x14ac:dyDescent="0.2">
      <c r="A7" s="14" t="s">
        <v>96</v>
      </c>
      <c r="B7" s="14" t="s">
        <v>97</v>
      </c>
      <c r="C7" s="14" t="s">
        <v>8</v>
      </c>
      <c r="D7" s="14" t="s">
        <v>98</v>
      </c>
      <c r="E7" s="14" t="s">
        <v>99</v>
      </c>
      <c r="F7" s="14" t="s">
        <v>100</v>
      </c>
      <c r="G7" s="14" t="s">
        <v>101</v>
      </c>
      <c r="H7" s="14" t="s">
        <v>102</v>
      </c>
      <c r="I7" s="14" t="s">
        <v>103</v>
      </c>
      <c r="J7" s="14" t="s">
        <v>104</v>
      </c>
    </row>
    <row r="8" spans="1:10" x14ac:dyDescent="0.2">
      <c r="A8" s="16">
        <f t="shared" ref="A8:A39" si="0">RANK(C8,$C$8:$C$81)</f>
        <v>1</v>
      </c>
      <c r="B8" s="15" t="s">
        <v>105</v>
      </c>
      <c r="C8" s="18">
        <v>30769700</v>
      </c>
      <c r="D8" s="16" t="s">
        <v>106</v>
      </c>
      <c r="E8" s="16" t="str">
        <f t="shared" ref="E8:E39" si="1">IF(A8&lt;=10,"Yes","No")</f>
        <v>Yes</v>
      </c>
      <c r="F8" s="16" t="s">
        <v>106</v>
      </c>
      <c r="G8" s="16" t="str">
        <f t="shared" ref="G8:G39" si="2">IF(AND(E8="Yes",F8="Yes"),"Yes","No")</f>
        <v>Yes</v>
      </c>
      <c r="H8" s="16" t="s">
        <v>106</v>
      </c>
      <c r="I8" s="16" t="str">
        <f t="shared" ref="I8:I39" si="3">IF(C8&gt;=$C$5,"Yes","No")</f>
        <v>Yes</v>
      </c>
      <c r="J8" s="15" t="str">
        <f t="shared" ref="J8:J39" si="4">IF(D8="Yes","Excluded: permanent member",IF(G8="Yes","Excluded: largest economy and population",IF(H8="Yes","Excluded: nuclear-armed",IF(I8="No","Excluded: below GDP floor","Included"))))</f>
        <v>Excluded: permanent member</v>
      </c>
    </row>
    <row r="9" spans="1:10" x14ac:dyDescent="0.2">
      <c r="A9" s="16">
        <f t="shared" si="0"/>
        <v>2</v>
      </c>
      <c r="B9" s="15" t="s">
        <v>107</v>
      </c>
      <c r="C9" s="18">
        <v>19498039</v>
      </c>
      <c r="D9" s="16" t="s">
        <v>106</v>
      </c>
      <c r="E9" s="16" t="str">
        <f t="shared" si="1"/>
        <v>Yes</v>
      </c>
      <c r="F9" s="16" t="s">
        <v>106</v>
      </c>
      <c r="G9" s="16" t="str">
        <f t="shared" si="2"/>
        <v>Yes</v>
      </c>
      <c r="H9" s="16" t="s">
        <v>106</v>
      </c>
      <c r="I9" s="16" t="str">
        <f t="shared" si="3"/>
        <v>Yes</v>
      </c>
      <c r="J9" s="15" t="str">
        <f t="shared" si="4"/>
        <v>Excluded: permanent member</v>
      </c>
    </row>
    <row r="10" spans="1:10" x14ac:dyDescent="0.2">
      <c r="A10" s="16">
        <f t="shared" si="0"/>
        <v>3</v>
      </c>
      <c r="B10" s="27" t="s">
        <v>22</v>
      </c>
      <c r="C10" s="18">
        <v>5050923</v>
      </c>
      <c r="D10" s="16" t="s">
        <v>108</v>
      </c>
      <c r="E10" s="16" t="str">
        <f t="shared" si="1"/>
        <v>Yes</v>
      </c>
      <c r="F10" s="16" t="s">
        <v>108</v>
      </c>
      <c r="G10" s="16" t="str">
        <f t="shared" si="2"/>
        <v>No</v>
      </c>
      <c r="H10" s="16" t="s">
        <v>108</v>
      </c>
      <c r="I10" s="16" t="str">
        <f t="shared" si="3"/>
        <v>Yes</v>
      </c>
      <c r="J10" s="27" t="str">
        <f t="shared" si="4"/>
        <v>Included</v>
      </c>
    </row>
    <row r="11" spans="1:10" x14ac:dyDescent="0.2">
      <c r="A11" s="16">
        <f t="shared" si="0"/>
        <v>4</v>
      </c>
      <c r="B11" s="27" t="s">
        <v>33</v>
      </c>
      <c r="C11" s="18">
        <v>4435163</v>
      </c>
      <c r="D11" s="16" t="s">
        <v>108</v>
      </c>
      <c r="E11" s="16" t="str">
        <f t="shared" si="1"/>
        <v>Yes</v>
      </c>
      <c r="F11" s="16" t="s">
        <v>108</v>
      </c>
      <c r="G11" s="16" t="str">
        <f t="shared" si="2"/>
        <v>No</v>
      </c>
      <c r="H11" s="16" t="s">
        <v>108</v>
      </c>
      <c r="I11" s="16" t="str">
        <f t="shared" si="3"/>
        <v>Yes</v>
      </c>
      <c r="J11" s="27" t="str">
        <f t="shared" si="4"/>
        <v>Included</v>
      </c>
    </row>
    <row r="12" spans="1:10" x14ac:dyDescent="0.2">
      <c r="A12" s="16">
        <f t="shared" si="0"/>
        <v>5</v>
      </c>
      <c r="B12" s="15" t="s">
        <v>109</v>
      </c>
      <c r="C12" s="18">
        <v>4002588</v>
      </c>
      <c r="D12" s="16" t="s">
        <v>106</v>
      </c>
      <c r="E12" s="16" t="str">
        <f t="shared" si="1"/>
        <v>Yes</v>
      </c>
      <c r="F12" s="16" t="s">
        <v>108</v>
      </c>
      <c r="G12" s="16" t="str">
        <f t="shared" si="2"/>
        <v>No</v>
      </c>
      <c r="H12" s="16" t="s">
        <v>106</v>
      </c>
      <c r="I12" s="16" t="str">
        <f t="shared" si="3"/>
        <v>Yes</v>
      </c>
      <c r="J12" s="15" t="str">
        <f t="shared" si="4"/>
        <v>Excluded: permanent member</v>
      </c>
    </row>
    <row r="13" spans="1:10" x14ac:dyDescent="0.2">
      <c r="A13" s="16">
        <f t="shared" si="0"/>
        <v>6</v>
      </c>
      <c r="B13" s="15" t="s">
        <v>110</v>
      </c>
      <c r="C13" s="18">
        <v>3956067</v>
      </c>
      <c r="D13" s="16" t="s">
        <v>108</v>
      </c>
      <c r="E13" s="16" t="str">
        <f t="shared" si="1"/>
        <v>Yes</v>
      </c>
      <c r="F13" s="16" t="s">
        <v>106</v>
      </c>
      <c r="G13" s="16" t="str">
        <f t="shared" si="2"/>
        <v>Yes</v>
      </c>
      <c r="H13" s="16" t="s">
        <v>106</v>
      </c>
      <c r="I13" s="16" t="str">
        <f t="shared" si="3"/>
        <v>Yes</v>
      </c>
      <c r="J13" s="15" t="str">
        <f t="shared" si="4"/>
        <v>Excluded: largest economy and population</v>
      </c>
    </row>
    <row r="14" spans="1:10" x14ac:dyDescent="0.2">
      <c r="A14" s="16">
        <f t="shared" si="0"/>
        <v>7</v>
      </c>
      <c r="B14" s="15" t="s">
        <v>111</v>
      </c>
      <c r="C14" s="18">
        <v>3366316</v>
      </c>
      <c r="D14" s="16" t="s">
        <v>106</v>
      </c>
      <c r="E14" s="16" t="str">
        <f t="shared" si="1"/>
        <v>Yes</v>
      </c>
      <c r="F14" s="16" t="s">
        <v>108</v>
      </c>
      <c r="G14" s="16" t="str">
        <f t="shared" si="2"/>
        <v>No</v>
      </c>
      <c r="H14" s="16" t="s">
        <v>106</v>
      </c>
      <c r="I14" s="16" t="str">
        <f t="shared" si="3"/>
        <v>Yes</v>
      </c>
      <c r="J14" s="15" t="str">
        <f t="shared" si="4"/>
        <v>Excluded: permanent member</v>
      </c>
    </row>
    <row r="15" spans="1:10" x14ac:dyDescent="0.2">
      <c r="A15" s="16">
        <f t="shared" si="0"/>
        <v>8</v>
      </c>
      <c r="B15" s="15" t="s">
        <v>112</v>
      </c>
      <c r="C15" s="18">
        <v>2561310</v>
      </c>
      <c r="D15" s="16" t="s">
        <v>106</v>
      </c>
      <c r="E15" s="16" t="str">
        <f t="shared" si="1"/>
        <v>Yes</v>
      </c>
      <c r="F15" s="16" t="s">
        <v>106</v>
      </c>
      <c r="G15" s="16" t="str">
        <f t="shared" si="2"/>
        <v>Yes</v>
      </c>
      <c r="H15" s="16" t="s">
        <v>106</v>
      </c>
      <c r="I15" s="16" t="str">
        <f t="shared" si="3"/>
        <v>Yes</v>
      </c>
      <c r="J15" s="15" t="str">
        <f t="shared" si="4"/>
        <v>Excluded: permanent member</v>
      </c>
    </row>
    <row r="16" spans="1:10" x14ac:dyDescent="0.2">
      <c r="A16" s="16">
        <f t="shared" si="0"/>
        <v>9</v>
      </c>
      <c r="B16" s="27" t="s">
        <v>35</v>
      </c>
      <c r="C16" s="18">
        <v>2551557</v>
      </c>
      <c r="D16" s="16" t="s">
        <v>108</v>
      </c>
      <c r="E16" s="16" t="str">
        <f t="shared" si="1"/>
        <v>Yes</v>
      </c>
      <c r="F16" s="16" t="s">
        <v>108</v>
      </c>
      <c r="G16" s="16" t="str">
        <f t="shared" si="2"/>
        <v>No</v>
      </c>
      <c r="H16" s="16" t="s">
        <v>108</v>
      </c>
      <c r="I16" s="16" t="str">
        <f t="shared" si="3"/>
        <v>Yes</v>
      </c>
      <c r="J16" s="27" t="str">
        <f t="shared" si="4"/>
        <v>Included</v>
      </c>
    </row>
    <row r="17" spans="1:10" x14ac:dyDescent="0.2">
      <c r="A17" s="16">
        <f t="shared" si="0"/>
        <v>10</v>
      </c>
      <c r="B17" s="27" t="s">
        <v>32</v>
      </c>
      <c r="C17" s="18">
        <v>2319900</v>
      </c>
      <c r="D17" s="16" t="s">
        <v>108</v>
      </c>
      <c r="E17" s="16" t="str">
        <f t="shared" si="1"/>
        <v>Yes</v>
      </c>
      <c r="F17" s="16" t="s">
        <v>108</v>
      </c>
      <c r="G17" s="16" t="str">
        <f t="shared" si="2"/>
        <v>No</v>
      </c>
      <c r="H17" s="16" t="s">
        <v>108</v>
      </c>
      <c r="I17" s="16" t="str">
        <f t="shared" si="3"/>
        <v>Yes</v>
      </c>
      <c r="J17" s="27" t="str">
        <f t="shared" si="4"/>
        <v>Included</v>
      </c>
    </row>
    <row r="18" spans="1:10" x14ac:dyDescent="0.2">
      <c r="A18" s="16">
        <f t="shared" si="0"/>
        <v>11</v>
      </c>
      <c r="B18" s="27" t="s">
        <v>38</v>
      </c>
      <c r="C18" s="18">
        <v>2279920</v>
      </c>
      <c r="D18" s="16" t="s">
        <v>108</v>
      </c>
      <c r="E18" s="16" t="str">
        <f t="shared" si="1"/>
        <v>No</v>
      </c>
      <c r="F18" s="16" t="s">
        <v>106</v>
      </c>
      <c r="G18" s="16" t="str">
        <f t="shared" si="2"/>
        <v>No</v>
      </c>
      <c r="H18" s="16" t="s">
        <v>108</v>
      </c>
      <c r="I18" s="16" t="str">
        <f t="shared" si="3"/>
        <v>Yes</v>
      </c>
      <c r="J18" s="27" t="str">
        <f t="shared" si="4"/>
        <v>Included</v>
      </c>
    </row>
    <row r="19" spans="1:10" x14ac:dyDescent="0.2">
      <c r="A19" s="16">
        <f t="shared" si="0"/>
        <v>12</v>
      </c>
      <c r="B19" s="27" t="s">
        <v>30</v>
      </c>
      <c r="C19" s="18">
        <v>1906453</v>
      </c>
      <c r="D19" s="16" t="s">
        <v>108</v>
      </c>
      <c r="E19" s="16" t="str">
        <f t="shared" si="1"/>
        <v>No</v>
      </c>
      <c r="F19" s="16" t="s">
        <v>108</v>
      </c>
      <c r="G19" s="16" t="str">
        <f t="shared" si="2"/>
        <v>No</v>
      </c>
      <c r="H19" s="16" t="s">
        <v>108</v>
      </c>
      <c r="I19" s="16" t="str">
        <f t="shared" si="3"/>
        <v>Yes</v>
      </c>
      <c r="J19" s="27" t="str">
        <f t="shared" si="4"/>
        <v>Included</v>
      </c>
    </row>
    <row r="20" spans="1:10" x14ac:dyDescent="0.2">
      <c r="A20" s="16">
        <f t="shared" si="0"/>
        <v>13</v>
      </c>
      <c r="B20" s="27" t="s">
        <v>36</v>
      </c>
      <c r="C20" s="18">
        <v>1872375</v>
      </c>
      <c r="D20" s="16" t="s">
        <v>108</v>
      </c>
      <c r="E20" s="16" t="str">
        <f t="shared" si="1"/>
        <v>No</v>
      </c>
      <c r="F20" s="16" t="s">
        <v>108</v>
      </c>
      <c r="G20" s="16" t="str">
        <f t="shared" si="2"/>
        <v>No</v>
      </c>
      <c r="H20" s="16" t="s">
        <v>108</v>
      </c>
      <c r="I20" s="16" t="str">
        <f t="shared" si="3"/>
        <v>Yes</v>
      </c>
      <c r="J20" s="27" t="str">
        <f t="shared" si="4"/>
        <v>Included</v>
      </c>
    </row>
    <row r="21" spans="1:10" x14ac:dyDescent="0.2">
      <c r="A21" s="16">
        <f t="shared" si="0"/>
        <v>14</v>
      </c>
      <c r="B21" s="27" t="s">
        <v>52</v>
      </c>
      <c r="C21" s="18">
        <v>1832641</v>
      </c>
      <c r="D21" s="16" t="s">
        <v>108</v>
      </c>
      <c r="E21" s="16" t="str">
        <f t="shared" si="1"/>
        <v>No</v>
      </c>
      <c r="F21" s="16" t="s">
        <v>108</v>
      </c>
      <c r="G21" s="16" t="str">
        <f t="shared" si="2"/>
        <v>No</v>
      </c>
      <c r="H21" s="16" t="s">
        <v>108</v>
      </c>
      <c r="I21" s="16" t="str">
        <f t="shared" si="3"/>
        <v>Yes</v>
      </c>
      <c r="J21" s="27" t="str">
        <f t="shared" si="4"/>
        <v>Included</v>
      </c>
    </row>
    <row r="22" spans="1:10" x14ac:dyDescent="0.2">
      <c r="A22" s="16">
        <f t="shared" si="0"/>
        <v>15</v>
      </c>
      <c r="B22" s="27" t="s">
        <v>23</v>
      </c>
      <c r="C22" s="18">
        <v>1798519</v>
      </c>
      <c r="D22" s="16" t="s">
        <v>108</v>
      </c>
      <c r="E22" s="16" t="str">
        <f t="shared" si="1"/>
        <v>No</v>
      </c>
      <c r="F22" s="16" t="s">
        <v>108</v>
      </c>
      <c r="G22" s="16" t="str">
        <f t="shared" si="2"/>
        <v>No</v>
      </c>
      <c r="H22" s="16" t="s">
        <v>108</v>
      </c>
      <c r="I22" s="16" t="str">
        <f t="shared" si="3"/>
        <v>Yes</v>
      </c>
      <c r="J22" s="27" t="str">
        <f t="shared" si="4"/>
        <v>Included</v>
      </c>
    </row>
    <row r="23" spans="1:10" x14ac:dyDescent="0.2">
      <c r="A23" s="16">
        <f t="shared" si="0"/>
        <v>16</v>
      </c>
      <c r="B23" s="27" t="s">
        <v>62</v>
      </c>
      <c r="C23" s="18">
        <v>1597293</v>
      </c>
      <c r="D23" s="16" t="s">
        <v>108</v>
      </c>
      <c r="E23" s="16" t="str">
        <f t="shared" si="1"/>
        <v>No</v>
      </c>
      <c r="F23" s="16" t="s">
        <v>108</v>
      </c>
      <c r="G23" s="16" t="str">
        <f t="shared" si="2"/>
        <v>No</v>
      </c>
      <c r="H23" s="16" t="s">
        <v>108</v>
      </c>
      <c r="I23" s="16" t="str">
        <f t="shared" si="3"/>
        <v>Yes</v>
      </c>
      <c r="J23" s="27" t="str">
        <f t="shared" si="4"/>
        <v>Included</v>
      </c>
    </row>
    <row r="24" spans="1:10" x14ac:dyDescent="0.2">
      <c r="A24" s="16">
        <f t="shared" si="0"/>
        <v>17</v>
      </c>
      <c r="B24" s="27" t="s">
        <v>47</v>
      </c>
      <c r="C24" s="18">
        <v>1445643</v>
      </c>
      <c r="D24" s="16" t="s">
        <v>108</v>
      </c>
      <c r="E24" s="16" t="str">
        <f t="shared" si="1"/>
        <v>No</v>
      </c>
      <c r="F24" s="16" t="s">
        <v>106</v>
      </c>
      <c r="G24" s="16" t="str">
        <f t="shared" si="2"/>
        <v>No</v>
      </c>
      <c r="H24" s="16" t="s">
        <v>108</v>
      </c>
      <c r="I24" s="16" t="str">
        <f t="shared" si="3"/>
        <v>Yes</v>
      </c>
      <c r="J24" s="27" t="str">
        <f t="shared" si="4"/>
        <v>Included</v>
      </c>
    </row>
    <row r="25" spans="1:10" x14ac:dyDescent="0.2">
      <c r="A25" s="16">
        <f t="shared" si="0"/>
        <v>18</v>
      </c>
      <c r="B25" s="27" t="s">
        <v>24</v>
      </c>
      <c r="C25" s="18">
        <v>1332768</v>
      </c>
      <c r="D25" s="16" t="s">
        <v>108</v>
      </c>
      <c r="E25" s="16" t="str">
        <f t="shared" si="1"/>
        <v>No</v>
      </c>
      <c r="F25" s="16" t="s">
        <v>108</v>
      </c>
      <c r="G25" s="16" t="str">
        <f t="shared" si="2"/>
        <v>No</v>
      </c>
      <c r="H25" s="16" t="s">
        <v>108</v>
      </c>
      <c r="I25" s="16" t="str">
        <f t="shared" si="3"/>
        <v>Yes</v>
      </c>
      <c r="J25" s="27" t="str">
        <f t="shared" si="4"/>
        <v>Included</v>
      </c>
    </row>
    <row r="26" spans="1:10" x14ac:dyDescent="0.2">
      <c r="A26" s="16">
        <f t="shared" si="0"/>
        <v>19</v>
      </c>
      <c r="B26" s="27" t="s">
        <v>68</v>
      </c>
      <c r="C26" s="18">
        <v>1276943</v>
      </c>
      <c r="D26" s="16" t="s">
        <v>108</v>
      </c>
      <c r="E26" s="16" t="str">
        <f t="shared" si="1"/>
        <v>No</v>
      </c>
      <c r="F26" s="16" t="s">
        <v>108</v>
      </c>
      <c r="G26" s="16" t="str">
        <f t="shared" si="2"/>
        <v>No</v>
      </c>
      <c r="H26" s="16" t="s">
        <v>108</v>
      </c>
      <c r="I26" s="16" t="str">
        <f t="shared" si="3"/>
        <v>Yes</v>
      </c>
      <c r="J26" s="27" t="str">
        <f t="shared" si="4"/>
        <v>Included</v>
      </c>
    </row>
    <row r="27" spans="1:10" x14ac:dyDescent="0.2">
      <c r="A27" s="16">
        <f t="shared" si="0"/>
        <v>20</v>
      </c>
      <c r="B27" s="27" t="s">
        <v>16</v>
      </c>
      <c r="C27" s="18">
        <v>1043530</v>
      </c>
      <c r="D27" s="16" t="s">
        <v>108</v>
      </c>
      <c r="E27" s="16" t="str">
        <f t="shared" si="1"/>
        <v>No</v>
      </c>
      <c r="F27" s="16" t="s">
        <v>108</v>
      </c>
      <c r="G27" s="16" t="str">
        <f t="shared" si="2"/>
        <v>No</v>
      </c>
      <c r="H27" s="16" t="s">
        <v>108</v>
      </c>
      <c r="I27" s="16" t="str">
        <f t="shared" si="3"/>
        <v>Yes</v>
      </c>
      <c r="J27" s="27" t="str">
        <f t="shared" si="4"/>
        <v>Included</v>
      </c>
    </row>
    <row r="28" spans="1:10" x14ac:dyDescent="0.2">
      <c r="A28" s="16">
        <f t="shared" si="0"/>
        <v>21</v>
      </c>
      <c r="B28" s="27" t="s">
        <v>46</v>
      </c>
      <c r="C28" s="18">
        <v>1035492</v>
      </c>
      <c r="D28" s="16" t="s">
        <v>108</v>
      </c>
      <c r="E28" s="16" t="str">
        <f t="shared" si="1"/>
        <v>No</v>
      </c>
      <c r="F28" s="16" t="s">
        <v>108</v>
      </c>
      <c r="G28" s="16" t="str">
        <f t="shared" si="2"/>
        <v>No</v>
      </c>
      <c r="H28" s="16" t="s">
        <v>108</v>
      </c>
      <c r="I28" s="16" t="str">
        <f t="shared" si="3"/>
        <v>Yes</v>
      </c>
      <c r="J28" s="27" t="str">
        <f t="shared" si="4"/>
        <v>Included</v>
      </c>
    </row>
    <row r="29" spans="1:10" x14ac:dyDescent="0.2">
      <c r="A29" s="16">
        <f t="shared" si="0"/>
        <v>22</v>
      </c>
      <c r="B29" s="27" t="s">
        <v>19</v>
      </c>
      <c r="C29" s="18">
        <v>725466</v>
      </c>
      <c r="D29" s="16" t="s">
        <v>108</v>
      </c>
      <c r="E29" s="16" t="str">
        <f t="shared" si="1"/>
        <v>No</v>
      </c>
      <c r="F29" s="16" t="s">
        <v>108</v>
      </c>
      <c r="G29" s="16" t="str">
        <f t="shared" si="2"/>
        <v>No</v>
      </c>
      <c r="H29" s="16" t="s">
        <v>108</v>
      </c>
      <c r="I29" s="16" t="str">
        <f t="shared" si="3"/>
        <v>Yes</v>
      </c>
      <c r="J29" s="27" t="str">
        <f t="shared" si="4"/>
        <v>Included</v>
      </c>
    </row>
    <row r="30" spans="1:10" x14ac:dyDescent="0.2">
      <c r="A30" s="16">
        <f t="shared" si="0"/>
        <v>23</v>
      </c>
      <c r="B30" s="27" t="s">
        <v>18</v>
      </c>
      <c r="C30" s="18">
        <v>721701</v>
      </c>
      <c r="D30" s="16" t="s">
        <v>108</v>
      </c>
      <c r="E30" s="16" t="str">
        <f t="shared" si="1"/>
        <v>No</v>
      </c>
      <c r="F30" s="16" t="s">
        <v>108</v>
      </c>
      <c r="G30" s="16" t="str">
        <f t="shared" si="2"/>
        <v>No</v>
      </c>
      <c r="H30" s="16" t="s">
        <v>108</v>
      </c>
      <c r="I30" s="16" t="str">
        <f t="shared" si="3"/>
        <v>Yes</v>
      </c>
      <c r="J30" s="27" t="str">
        <f t="shared" si="4"/>
        <v>Included</v>
      </c>
    </row>
    <row r="31" spans="1:10" x14ac:dyDescent="0.2">
      <c r="A31" s="16">
        <f t="shared" si="0"/>
        <v>24</v>
      </c>
      <c r="B31" s="27" t="s">
        <v>41</v>
      </c>
      <c r="C31" s="18">
        <v>683098</v>
      </c>
      <c r="D31" s="16" t="s">
        <v>108</v>
      </c>
      <c r="E31" s="16" t="str">
        <f t="shared" si="1"/>
        <v>No</v>
      </c>
      <c r="F31" s="16" t="s">
        <v>108</v>
      </c>
      <c r="G31" s="16" t="str">
        <f t="shared" si="2"/>
        <v>No</v>
      </c>
      <c r="H31" s="16" t="s">
        <v>108</v>
      </c>
      <c r="I31" s="16" t="str">
        <f t="shared" si="3"/>
        <v>Yes</v>
      </c>
      <c r="J31" s="27" t="str">
        <f t="shared" si="4"/>
        <v>Included</v>
      </c>
    </row>
    <row r="32" spans="1:10" x14ac:dyDescent="0.2">
      <c r="A32" s="16">
        <f t="shared" si="0"/>
        <v>25</v>
      </c>
      <c r="B32" s="27" t="s">
        <v>15</v>
      </c>
      <c r="C32" s="18">
        <v>668999</v>
      </c>
      <c r="D32" s="16" t="s">
        <v>108</v>
      </c>
      <c r="E32" s="16" t="str">
        <f t="shared" si="1"/>
        <v>No</v>
      </c>
      <c r="F32" s="16" t="s">
        <v>108</v>
      </c>
      <c r="G32" s="16" t="str">
        <f t="shared" si="2"/>
        <v>No</v>
      </c>
      <c r="H32" s="16" t="s">
        <v>108</v>
      </c>
      <c r="I32" s="16" t="str">
        <f t="shared" si="3"/>
        <v>Yes</v>
      </c>
      <c r="J32" s="27" t="str">
        <f t="shared" si="4"/>
        <v>Included</v>
      </c>
    </row>
    <row r="33" spans="1:10" x14ac:dyDescent="0.2">
      <c r="A33" s="16">
        <f t="shared" si="0"/>
        <v>26</v>
      </c>
      <c r="B33" s="15" t="s">
        <v>113</v>
      </c>
      <c r="C33" s="18">
        <v>610778</v>
      </c>
      <c r="D33" s="16" t="s">
        <v>108</v>
      </c>
      <c r="E33" s="16" t="str">
        <f t="shared" si="1"/>
        <v>No</v>
      </c>
      <c r="F33" s="16" t="s">
        <v>108</v>
      </c>
      <c r="G33" s="16" t="str">
        <f t="shared" si="2"/>
        <v>No</v>
      </c>
      <c r="H33" s="16" t="s">
        <v>106</v>
      </c>
      <c r="I33" s="16" t="str">
        <f t="shared" si="3"/>
        <v>Yes</v>
      </c>
      <c r="J33" s="15" t="str">
        <f t="shared" si="4"/>
        <v>Excluded: nuclear-armed</v>
      </c>
    </row>
    <row r="34" spans="1:10" x14ac:dyDescent="0.2">
      <c r="A34" s="16">
        <f t="shared" si="0"/>
        <v>27</v>
      </c>
      <c r="B34" s="27" t="s">
        <v>48</v>
      </c>
      <c r="C34" s="18">
        <v>603870</v>
      </c>
      <c r="D34" s="16" t="s">
        <v>108</v>
      </c>
      <c r="E34" s="16" t="str">
        <f t="shared" si="1"/>
        <v>No</v>
      </c>
      <c r="F34" s="16" t="s">
        <v>108</v>
      </c>
      <c r="G34" s="16" t="str">
        <f t="shared" si="2"/>
        <v>No</v>
      </c>
      <c r="H34" s="16" t="s">
        <v>108</v>
      </c>
      <c r="I34" s="16" t="str">
        <f t="shared" si="3"/>
        <v>Yes</v>
      </c>
      <c r="J34" s="27" t="str">
        <f t="shared" si="4"/>
        <v>Included</v>
      </c>
    </row>
    <row r="35" spans="1:10" x14ac:dyDescent="0.2">
      <c r="A35" s="16">
        <f t="shared" si="0"/>
        <v>28</v>
      </c>
      <c r="B35" s="27" t="s">
        <v>29</v>
      </c>
      <c r="C35" s="18">
        <v>579470</v>
      </c>
      <c r="D35" s="16" t="s">
        <v>108</v>
      </c>
      <c r="E35" s="16" t="str">
        <f t="shared" si="1"/>
        <v>No</v>
      </c>
      <c r="F35" s="16" t="s">
        <v>108</v>
      </c>
      <c r="G35" s="16" t="str">
        <f t="shared" si="2"/>
        <v>No</v>
      </c>
      <c r="H35" s="16" t="s">
        <v>108</v>
      </c>
      <c r="I35" s="16" t="str">
        <f t="shared" si="3"/>
        <v>Yes</v>
      </c>
      <c r="J35" s="27" t="str">
        <f t="shared" si="4"/>
        <v>Included</v>
      </c>
    </row>
    <row r="36" spans="1:10" x14ac:dyDescent="0.2">
      <c r="A36" s="16">
        <f t="shared" si="0"/>
        <v>29</v>
      </c>
      <c r="B36" s="27" t="s">
        <v>55</v>
      </c>
      <c r="C36" s="18">
        <v>577010</v>
      </c>
      <c r="D36" s="16" t="s">
        <v>108</v>
      </c>
      <c r="E36" s="16" t="str">
        <f t="shared" si="1"/>
        <v>No</v>
      </c>
      <c r="F36" s="16" t="s">
        <v>108</v>
      </c>
      <c r="G36" s="16" t="str">
        <f t="shared" si="2"/>
        <v>No</v>
      </c>
      <c r="H36" s="16" t="s">
        <v>108</v>
      </c>
      <c r="I36" s="16" t="str">
        <f t="shared" si="3"/>
        <v>Yes</v>
      </c>
      <c r="J36" s="27" t="str">
        <f t="shared" si="4"/>
        <v>Included</v>
      </c>
    </row>
    <row r="37" spans="1:10" x14ac:dyDescent="0.2">
      <c r="A37" s="16">
        <f t="shared" si="0"/>
        <v>30</v>
      </c>
      <c r="B37" s="27" t="s">
        <v>67</v>
      </c>
      <c r="C37" s="18">
        <v>552325</v>
      </c>
      <c r="D37" s="16" t="s">
        <v>108</v>
      </c>
      <c r="E37" s="16" t="str">
        <f t="shared" si="1"/>
        <v>No</v>
      </c>
      <c r="F37" s="16" t="s">
        <v>108</v>
      </c>
      <c r="G37" s="16" t="str">
        <f t="shared" si="2"/>
        <v>No</v>
      </c>
      <c r="H37" s="16" t="s">
        <v>108</v>
      </c>
      <c r="I37" s="16" t="str">
        <f t="shared" si="3"/>
        <v>Yes</v>
      </c>
      <c r="J37" s="27" t="str">
        <f t="shared" si="4"/>
        <v>Included</v>
      </c>
    </row>
    <row r="38" spans="1:10" x14ac:dyDescent="0.2">
      <c r="A38" s="16">
        <f t="shared" si="0"/>
        <v>31</v>
      </c>
      <c r="B38" s="27" t="s">
        <v>17</v>
      </c>
      <c r="C38" s="18">
        <v>530756</v>
      </c>
      <c r="D38" s="16" t="s">
        <v>108</v>
      </c>
      <c r="E38" s="16" t="str">
        <f t="shared" si="1"/>
        <v>No</v>
      </c>
      <c r="F38" s="16" t="s">
        <v>108</v>
      </c>
      <c r="G38" s="16" t="str">
        <f t="shared" si="2"/>
        <v>No</v>
      </c>
      <c r="H38" s="16" t="s">
        <v>108</v>
      </c>
      <c r="I38" s="16" t="str">
        <f t="shared" si="3"/>
        <v>Yes</v>
      </c>
      <c r="J38" s="27" t="str">
        <f t="shared" si="4"/>
        <v>Included</v>
      </c>
    </row>
    <row r="39" spans="1:10" x14ac:dyDescent="0.2">
      <c r="A39" s="16">
        <f t="shared" si="0"/>
        <v>32</v>
      </c>
      <c r="B39" s="27" t="s">
        <v>63</v>
      </c>
      <c r="C39" s="18">
        <v>514697</v>
      </c>
      <c r="D39" s="16" t="s">
        <v>108</v>
      </c>
      <c r="E39" s="16" t="str">
        <f t="shared" si="1"/>
        <v>No</v>
      </c>
      <c r="F39" s="16" t="s">
        <v>108</v>
      </c>
      <c r="G39" s="16" t="str">
        <f t="shared" si="2"/>
        <v>No</v>
      </c>
      <c r="H39" s="16" t="s">
        <v>108</v>
      </c>
      <c r="I39" s="16" t="str">
        <f t="shared" si="3"/>
        <v>Yes</v>
      </c>
      <c r="J39" s="27" t="str">
        <f t="shared" si="4"/>
        <v>Included</v>
      </c>
    </row>
    <row r="40" spans="1:10" x14ac:dyDescent="0.2">
      <c r="A40" s="16">
        <f t="shared" ref="A40:A71" si="5">RANK(C40,$C$8:$C$81)</f>
        <v>33</v>
      </c>
      <c r="B40" s="27" t="s">
        <v>53</v>
      </c>
      <c r="C40" s="18">
        <v>487086</v>
      </c>
      <c r="D40" s="16" t="s">
        <v>108</v>
      </c>
      <c r="E40" s="16" t="str">
        <f t="shared" ref="E40:E71" si="6">IF(A40&lt;=10,"Yes","No")</f>
        <v>No</v>
      </c>
      <c r="F40" s="16" t="s">
        <v>108</v>
      </c>
      <c r="G40" s="16" t="str">
        <f t="shared" ref="G40:G71" si="7">IF(AND(E40="Yes",F40="Yes"),"Yes","No")</f>
        <v>No</v>
      </c>
      <c r="H40" s="16" t="s">
        <v>108</v>
      </c>
      <c r="I40" s="16" t="str">
        <f t="shared" ref="I40:I71" si="8">IF(C40&gt;=$C$5,"Yes","No")</f>
        <v>Yes</v>
      </c>
      <c r="J40" s="27" t="str">
        <f t="shared" ref="J40:J71" si="9">IF(D40="Yes","Excluded: permanent member",IF(G40="Yes","Excluded: largest economy and population",IF(H40="Yes","Excluded: nuclear-armed",IF(I40="No","Excluded: below GDP floor","Included"))))</f>
        <v>Included</v>
      </c>
    </row>
    <row r="41" spans="1:10" x14ac:dyDescent="0.2">
      <c r="A41" s="16">
        <f t="shared" si="5"/>
        <v>34</v>
      </c>
      <c r="B41" s="27" t="s">
        <v>49</v>
      </c>
      <c r="C41" s="18">
        <v>472193</v>
      </c>
      <c r="D41" s="16" t="s">
        <v>108</v>
      </c>
      <c r="E41" s="16" t="str">
        <f t="shared" si="6"/>
        <v>No</v>
      </c>
      <c r="F41" s="16" t="s">
        <v>108</v>
      </c>
      <c r="G41" s="16" t="str">
        <f t="shared" si="7"/>
        <v>No</v>
      </c>
      <c r="H41" s="16" t="s">
        <v>108</v>
      </c>
      <c r="I41" s="16" t="str">
        <f t="shared" si="8"/>
        <v>Yes</v>
      </c>
      <c r="J41" s="27" t="str">
        <f t="shared" si="9"/>
        <v>Included</v>
      </c>
    </row>
    <row r="42" spans="1:10" x14ac:dyDescent="0.2">
      <c r="A42" s="16">
        <f t="shared" si="5"/>
        <v>35</v>
      </c>
      <c r="B42" s="27" t="s">
        <v>13</v>
      </c>
      <c r="C42" s="18">
        <v>462527</v>
      </c>
      <c r="D42" s="16" t="s">
        <v>108</v>
      </c>
      <c r="E42" s="16" t="str">
        <f t="shared" si="6"/>
        <v>No</v>
      </c>
      <c r="F42" s="16" t="s">
        <v>108</v>
      </c>
      <c r="G42" s="16" t="str">
        <f t="shared" si="7"/>
        <v>No</v>
      </c>
      <c r="H42" s="16" t="s">
        <v>108</v>
      </c>
      <c r="I42" s="16" t="str">
        <f t="shared" si="8"/>
        <v>Yes</v>
      </c>
      <c r="J42" s="27" t="str">
        <f t="shared" si="9"/>
        <v>Included</v>
      </c>
    </row>
    <row r="43" spans="1:10" x14ac:dyDescent="0.2">
      <c r="A43" s="16">
        <f t="shared" si="5"/>
        <v>36</v>
      </c>
      <c r="B43" s="27" t="s">
        <v>44</v>
      </c>
      <c r="C43" s="18">
        <v>457410</v>
      </c>
      <c r="D43" s="16" t="s">
        <v>108</v>
      </c>
      <c r="E43" s="16" t="str">
        <f t="shared" si="6"/>
        <v>No</v>
      </c>
      <c r="F43" s="16" t="s">
        <v>108</v>
      </c>
      <c r="G43" s="16" t="str">
        <f t="shared" si="7"/>
        <v>No</v>
      </c>
      <c r="H43" s="16" t="s">
        <v>108</v>
      </c>
      <c r="I43" s="16" t="str">
        <f t="shared" si="8"/>
        <v>Yes</v>
      </c>
      <c r="J43" s="27" t="str">
        <f t="shared" si="9"/>
        <v>Included</v>
      </c>
    </row>
    <row r="44" spans="1:10" x14ac:dyDescent="0.2">
      <c r="A44" s="16">
        <f t="shared" si="5"/>
        <v>37</v>
      </c>
      <c r="B44" s="27" t="s">
        <v>64</v>
      </c>
      <c r="C44" s="18">
        <v>456319</v>
      </c>
      <c r="D44" s="16" t="s">
        <v>108</v>
      </c>
      <c r="E44" s="16" t="str">
        <f t="shared" si="6"/>
        <v>No</v>
      </c>
      <c r="F44" s="16" t="s">
        <v>106</v>
      </c>
      <c r="G44" s="16" t="str">
        <f t="shared" si="7"/>
        <v>No</v>
      </c>
      <c r="H44" s="16" t="s">
        <v>108</v>
      </c>
      <c r="I44" s="16" t="str">
        <f t="shared" si="8"/>
        <v>Yes</v>
      </c>
      <c r="J44" s="27" t="str">
        <f t="shared" si="9"/>
        <v>Included</v>
      </c>
    </row>
    <row r="45" spans="1:10" x14ac:dyDescent="0.2">
      <c r="A45" s="16">
        <f t="shared" si="5"/>
        <v>38</v>
      </c>
      <c r="B45" s="27" t="s">
        <v>45</v>
      </c>
      <c r="C45" s="18">
        <v>428678</v>
      </c>
      <c r="D45" s="16" t="s">
        <v>108</v>
      </c>
      <c r="E45" s="16" t="str">
        <f t="shared" si="6"/>
        <v>No</v>
      </c>
      <c r="F45" s="16" t="s">
        <v>108</v>
      </c>
      <c r="G45" s="16" t="str">
        <f t="shared" si="7"/>
        <v>No</v>
      </c>
      <c r="H45" s="16" t="s">
        <v>108</v>
      </c>
      <c r="I45" s="16" t="str">
        <f t="shared" si="8"/>
        <v>Yes</v>
      </c>
      <c r="J45" s="27" t="str">
        <f t="shared" si="9"/>
        <v>Included</v>
      </c>
    </row>
    <row r="46" spans="1:10" x14ac:dyDescent="0.2">
      <c r="A46" s="16">
        <f t="shared" si="5"/>
        <v>39</v>
      </c>
      <c r="B46" s="27" t="s">
        <v>39</v>
      </c>
      <c r="C46" s="18">
        <v>427184</v>
      </c>
      <c r="D46" s="16" t="s">
        <v>108</v>
      </c>
      <c r="E46" s="16" t="str">
        <f t="shared" si="6"/>
        <v>No</v>
      </c>
      <c r="F46" s="16" t="s">
        <v>108</v>
      </c>
      <c r="G46" s="16" t="str">
        <f t="shared" si="7"/>
        <v>No</v>
      </c>
      <c r="H46" s="16" t="s">
        <v>108</v>
      </c>
      <c r="I46" s="16" t="str">
        <f t="shared" si="8"/>
        <v>Yes</v>
      </c>
      <c r="J46" s="27" t="str">
        <f t="shared" si="9"/>
        <v>Included</v>
      </c>
    </row>
    <row r="47" spans="1:10" x14ac:dyDescent="0.2">
      <c r="A47" s="16">
        <f t="shared" si="5"/>
        <v>40</v>
      </c>
      <c r="B47" s="15" t="s">
        <v>114</v>
      </c>
      <c r="C47" s="18">
        <v>407307</v>
      </c>
      <c r="D47" s="16" t="s">
        <v>108</v>
      </c>
      <c r="E47" s="16" t="str">
        <f t="shared" si="6"/>
        <v>No</v>
      </c>
      <c r="F47" s="16" t="s">
        <v>106</v>
      </c>
      <c r="G47" s="16" t="str">
        <f t="shared" si="7"/>
        <v>No</v>
      </c>
      <c r="H47" s="16" t="s">
        <v>106</v>
      </c>
      <c r="I47" s="16" t="str">
        <f t="shared" si="8"/>
        <v>Yes</v>
      </c>
      <c r="J47" s="15" t="str">
        <f t="shared" si="9"/>
        <v>Excluded: nuclear-armed</v>
      </c>
    </row>
    <row r="48" spans="1:10" x14ac:dyDescent="0.2">
      <c r="A48" s="16">
        <f t="shared" si="5"/>
        <v>41</v>
      </c>
      <c r="B48" s="27" t="s">
        <v>27</v>
      </c>
      <c r="C48" s="18">
        <v>391027</v>
      </c>
      <c r="D48" s="16" t="s">
        <v>108</v>
      </c>
      <c r="E48" s="16" t="str">
        <f t="shared" si="6"/>
        <v>No</v>
      </c>
      <c r="F48" s="16" t="s">
        <v>108</v>
      </c>
      <c r="G48" s="16" t="str">
        <f t="shared" si="7"/>
        <v>No</v>
      </c>
      <c r="H48" s="16" t="s">
        <v>108</v>
      </c>
      <c r="I48" s="16" t="str">
        <f t="shared" si="8"/>
        <v>Yes</v>
      </c>
      <c r="J48" s="27" t="str">
        <f t="shared" si="9"/>
        <v>Included</v>
      </c>
    </row>
    <row r="49" spans="1:10" x14ac:dyDescent="0.2">
      <c r="A49" s="16">
        <f t="shared" si="5"/>
        <v>42</v>
      </c>
      <c r="B49" s="27" t="s">
        <v>61</v>
      </c>
      <c r="C49" s="18">
        <v>365255</v>
      </c>
      <c r="D49" s="16" t="s">
        <v>108</v>
      </c>
      <c r="E49" s="16" t="str">
        <f t="shared" si="6"/>
        <v>No</v>
      </c>
      <c r="F49" s="16" t="s">
        <v>108</v>
      </c>
      <c r="G49" s="16" t="str">
        <f t="shared" si="7"/>
        <v>No</v>
      </c>
      <c r="H49" s="16" t="s">
        <v>108</v>
      </c>
      <c r="I49" s="16" t="str">
        <f t="shared" si="8"/>
        <v>Yes</v>
      </c>
      <c r="J49" s="27" t="str">
        <f t="shared" si="9"/>
        <v>Included</v>
      </c>
    </row>
    <row r="50" spans="1:10" x14ac:dyDescent="0.2">
      <c r="A50" s="16">
        <f t="shared" si="5"/>
        <v>43</v>
      </c>
      <c r="B50" s="27" t="s">
        <v>65</v>
      </c>
      <c r="C50" s="18">
        <v>362682</v>
      </c>
      <c r="D50" s="16" t="s">
        <v>108</v>
      </c>
      <c r="E50" s="16" t="str">
        <f t="shared" si="6"/>
        <v>No</v>
      </c>
      <c r="F50" s="16" t="s">
        <v>108</v>
      </c>
      <c r="G50" s="16" t="str">
        <f t="shared" si="7"/>
        <v>No</v>
      </c>
      <c r="H50" s="16" t="s">
        <v>108</v>
      </c>
      <c r="I50" s="16" t="str">
        <f t="shared" si="8"/>
        <v>Yes</v>
      </c>
      <c r="J50" s="27" t="str">
        <f t="shared" si="9"/>
        <v>Included</v>
      </c>
    </row>
    <row r="51" spans="1:10" x14ac:dyDescent="0.2">
      <c r="A51" s="16">
        <f t="shared" si="5"/>
        <v>44</v>
      </c>
      <c r="B51" s="27" t="s">
        <v>25</v>
      </c>
      <c r="C51" s="18">
        <v>357371</v>
      </c>
      <c r="D51" s="16" t="s">
        <v>108</v>
      </c>
      <c r="E51" s="16" t="str">
        <f t="shared" si="6"/>
        <v>No</v>
      </c>
      <c r="F51" s="16" t="s">
        <v>108</v>
      </c>
      <c r="G51" s="16" t="str">
        <f t="shared" si="7"/>
        <v>No</v>
      </c>
      <c r="H51" s="16" t="s">
        <v>108</v>
      </c>
      <c r="I51" s="16" t="str">
        <f t="shared" si="8"/>
        <v>Yes</v>
      </c>
      <c r="J51" s="27" t="str">
        <f t="shared" si="9"/>
        <v>Included</v>
      </c>
    </row>
    <row r="52" spans="1:10" x14ac:dyDescent="0.2">
      <c r="A52" s="16">
        <f t="shared" si="5"/>
        <v>45</v>
      </c>
      <c r="B52" s="27" t="s">
        <v>31</v>
      </c>
      <c r="C52" s="18">
        <v>346640</v>
      </c>
      <c r="D52" s="16" t="s">
        <v>108</v>
      </c>
      <c r="E52" s="16" t="str">
        <f t="shared" si="6"/>
        <v>No</v>
      </c>
      <c r="F52" s="16" t="s">
        <v>108</v>
      </c>
      <c r="G52" s="16" t="str">
        <f t="shared" si="7"/>
        <v>No</v>
      </c>
      <c r="H52" s="16" t="s">
        <v>108</v>
      </c>
      <c r="I52" s="16" t="str">
        <f t="shared" si="8"/>
        <v>Yes</v>
      </c>
      <c r="J52" s="27" t="str">
        <f t="shared" si="9"/>
        <v>Included</v>
      </c>
    </row>
    <row r="53" spans="1:10" x14ac:dyDescent="0.2">
      <c r="A53" s="16">
        <f t="shared" si="5"/>
        <v>46</v>
      </c>
      <c r="B53" s="27" t="s">
        <v>43</v>
      </c>
      <c r="C53" s="18">
        <v>334855</v>
      </c>
      <c r="D53" s="16" t="s">
        <v>108</v>
      </c>
      <c r="E53" s="16" t="str">
        <f t="shared" si="6"/>
        <v>No</v>
      </c>
      <c r="F53" s="16" t="s">
        <v>108</v>
      </c>
      <c r="G53" s="16" t="str">
        <f t="shared" si="7"/>
        <v>No</v>
      </c>
      <c r="H53" s="16" t="s">
        <v>108</v>
      </c>
      <c r="I53" s="16" t="str">
        <f t="shared" si="8"/>
        <v>Yes</v>
      </c>
      <c r="J53" s="27" t="str">
        <f t="shared" si="9"/>
        <v>Included</v>
      </c>
    </row>
    <row r="54" spans="1:10" x14ac:dyDescent="0.2">
      <c r="A54" s="16">
        <f t="shared" si="5"/>
        <v>47</v>
      </c>
      <c r="B54" s="27" t="s">
        <v>20</v>
      </c>
      <c r="C54" s="18">
        <v>317039</v>
      </c>
      <c r="D54" s="16" t="s">
        <v>108</v>
      </c>
      <c r="E54" s="16" t="str">
        <f t="shared" si="6"/>
        <v>No</v>
      </c>
      <c r="F54" s="16" t="s">
        <v>108</v>
      </c>
      <c r="G54" s="16" t="str">
        <f t="shared" si="7"/>
        <v>No</v>
      </c>
      <c r="H54" s="16" t="s">
        <v>108</v>
      </c>
      <c r="I54" s="16" t="str">
        <f t="shared" si="8"/>
        <v>Yes</v>
      </c>
      <c r="J54" s="27" t="str">
        <f t="shared" si="9"/>
        <v>Included</v>
      </c>
    </row>
    <row r="55" spans="1:10" x14ac:dyDescent="0.2">
      <c r="A55" s="16">
        <f t="shared" si="5"/>
        <v>48</v>
      </c>
      <c r="B55" s="27" t="s">
        <v>59</v>
      </c>
      <c r="C55" s="18">
        <v>306239</v>
      </c>
      <c r="D55" s="16" t="s">
        <v>108</v>
      </c>
      <c r="E55" s="16" t="str">
        <f t="shared" si="6"/>
        <v>No</v>
      </c>
      <c r="F55" s="16" t="s">
        <v>108</v>
      </c>
      <c r="G55" s="16" t="str">
        <f t="shared" si="7"/>
        <v>No</v>
      </c>
      <c r="H55" s="16" t="s">
        <v>108</v>
      </c>
      <c r="I55" s="16" t="str">
        <f t="shared" si="8"/>
        <v>Yes</v>
      </c>
      <c r="J55" s="27" t="str">
        <f t="shared" si="9"/>
        <v>Included</v>
      </c>
    </row>
    <row r="56" spans="1:10" x14ac:dyDescent="0.2">
      <c r="A56" s="16">
        <f t="shared" si="5"/>
        <v>49</v>
      </c>
      <c r="B56" s="27" t="s">
        <v>51</v>
      </c>
      <c r="C56" s="18">
        <v>290794</v>
      </c>
      <c r="D56" s="16" t="s">
        <v>108</v>
      </c>
      <c r="E56" s="16" t="str">
        <f t="shared" si="6"/>
        <v>No</v>
      </c>
      <c r="F56" s="16" t="s">
        <v>106</v>
      </c>
      <c r="G56" s="16" t="str">
        <f t="shared" si="7"/>
        <v>No</v>
      </c>
      <c r="H56" s="16" t="s">
        <v>108</v>
      </c>
      <c r="I56" s="16" t="str">
        <f t="shared" si="8"/>
        <v>Yes</v>
      </c>
      <c r="J56" s="27" t="str">
        <f t="shared" si="9"/>
        <v>Included</v>
      </c>
    </row>
    <row r="57" spans="1:10" x14ac:dyDescent="0.2">
      <c r="A57" s="16">
        <f t="shared" si="5"/>
        <v>50</v>
      </c>
      <c r="B57" s="27" t="s">
        <v>60</v>
      </c>
      <c r="C57" s="18">
        <v>287031</v>
      </c>
      <c r="D57" s="16" t="s">
        <v>108</v>
      </c>
      <c r="E57" s="16" t="str">
        <f t="shared" si="6"/>
        <v>No</v>
      </c>
      <c r="F57" s="16" t="s">
        <v>108</v>
      </c>
      <c r="G57" s="16" t="str">
        <f t="shared" si="7"/>
        <v>No</v>
      </c>
      <c r="H57" s="16" t="s">
        <v>108</v>
      </c>
      <c r="I57" s="16" t="str">
        <f t="shared" si="8"/>
        <v>Yes</v>
      </c>
      <c r="J57" s="27" t="str">
        <f t="shared" si="9"/>
        <v>Included</v>
      </c>
    </row>
    <row r="58" spans="1:10" x14ac:dyDescent="0.2">
      <c r="A58" s="16">
        <f t="shared" si="5"/>
        <v>51</v>
      </c>
      <c r="B58" s="27" t="s">
        <v>42</v>
      </c>
      <c r="C58" s="18">
        <v>280636</v>
      </c>
      <c r="D58" s="16" t="s">
        <v>108</v>
      </c>
      <c r="E58" s="16" t="str">
        <f t="shared" si="6"/>
        <v>No</v>
      </c>
      <c r="F58" s="16" t="s">
        <v>108</v>
      </c>
      <c r="G58" s="16" t="str">
        <f t="shared" si="7"/>
        <v>No</v>
      </c>
      <c r="H58" s="16" t="s">
        <v>108</v>
      </c>
      <c r="I58" s="16" t="str">
        <f t="shared" si="8"/>
        <v>Yes</v>
      </c>
      <c r="J58" s="27" t="str">
        <f t="shared" si="9"/>
        <v>Included</v>
      </c>
    </row>
    <row r="59" spans="1:10" x14ac:dyDescent="0.2">
      <c r="A59" s="16">
        <f t="shared" si="5"/>
        <v>52</v>
      </c>
      <c r="B59" s="27" t="s">
        <v>21</v>
      </c>
      <c r="C59" s="18">
        <v>264057</v>
      </c>
      <c r="D59" s="16" t="s">
        <v>108</v>
      </c>
      <c r="E59" s="16" t="str">
        <f t="shared" si="6"/>
        <v>No</v>
      </c>
      <c r="F59" s="16" t="s">
        <v>108</v>
      </c>
      <c r="G59" s="16" t="str">
        <f t="shared" si="7"/>
        <v>No</v>
      </c>
      <c r="H59" s="16" t="s">
        <v>108</v>
      </c>
      <c r="I59" s="16" t="str">
        <f t="shared" si="8"/>
        <v>Yes</v>
      </c>
      <c r="J59" s="27" t="str">
        <f t="shared" si="9"/>
        <v>Included</v>
      </c>
    </row>
    <row r="60" spans="1:10" x14ac:dyDescent="0.2">
      <c r="A60" s="16">
        <f t="shared" si="5"/>
        <v>53</v>
      </c>
      <c r="B60" s="27" t="s">
        <v>58</v>
      </c>
      <c r="C60" s="18">
        <v>254367</v>
      </c>
      <c r="D60" s="16" t="s">
        <v>108</v>
      </c>
      <c r="E60" s="16" t="str">
        <f t="shared" si="6"/>
        <v>No</v>
      </c>
      <c r="F60" s="16" t="s">
        <v>108</v>
      </c>
      <c r="G60" s="16" t="str">
        <f t="shared" si="7"/>
        <v>No</v>
      </c>
      <c r="H60" s="16" t="s">
        <v>108</v>
      </c>
      <c r="I60" s="16" t="str">
        <f t="shared" si="8"/>
        <v>Yes</v>
      </c>
      <c r="J60" s="27" t="str">
        <f t="shared" si="9"/>
        <v>Included</v>
      </c>
    </row>
    <row r="61" spans="1:10" x14ac:dyDescent="0.2">
      <c r="A61" s="16">
        <f t="shared" si="5"/>
        <v>54</v>
      </c>
      <c r="B61" s="27" t="s">
        <v>50</v>
      </c>
      <c r="C61" s="18">
        <v>246490</v>
      </c>
      <c r="D61" s="16" t="s">
        <v>108</v>
      </c>
      <c r="E61" s="16" t="str">
        <f t="shared" si="6"/>
        <v>No</v>
      </c>
      <c r="F61" s="16" t="s">
        <v>108</v>
      </c>
      <c r="G61" s="16" t="str">
        <f t="shared" si="7"/>
        <v>No</v>
      </c>
      <c r="H61" s="16" t="s">
        <v>108</v>
      </c>
      <c r="I61" s="16" t="str">
        <f t="shared" si="8"/>
        <v>Yes</v>
      </c>
      <c r="J61" s="27" t="str">
        <f t="shared" si="9"/>
        <v>Included</v>
      </c>
    </row>
    <row r="62" spans="1:10" x14ac:dyDescent="0.2">
      <c r="A62" s="16">
        <f t="shared" si="5"/>
        <v>55</v>
      </c>
      <c r="B62" s="27" t="s">
        <v>66</v>
      </c>
      <c r="C62" s="18">
        <v>215560</v>
      </c>
      <c r="D62" s="16" t="s">
        <v>108</v>
      </c>
      <c r="E62" s="16" t="str">
        <f t="shared" si="6"/>
        <v>No</v>
      </c>
      <c r="F62" s="16" t="s">
        <v>108</v>
      </c>
      <c r="G62" s="16" t="str">
        <f t="shared" si="7"/>
        <v>No</v>
      </c>
      <c r="H62" s="16" t="s">
        <v>108</v>
      </c>
      <c r="I62" s="16" t="str">
        <f t="shared" si="8"/>
        <v>Yes</v>
      </c>
      <c r="J62" s="27" t="str">
        <f t="shared" si="9"/>
        <v>Included</v>
      </c>
    </row>
    <row r="63" spans="1:10" x14ac:dyDescent="0.2">
      <c r="A63" s="16">
        <f t="shared" si="5"/>
        <v>56</v>
      </c>
      <c r="B63" s="27" t="s">
        <v>54</v>
      </c>
      <c r="C63" s="18">
        <v>214233</v>
      </c>
      <c r="D63" s="16" t="s">
        <v>108</v>
      </c>
      <c r="E63" s="16" t="str">
        <f t="shared" si="6"/>
        <v>No</v>
      </c>
      <c r="F63" s="16" t="s">
        <v>108</v>
      </c>
      <c r="G63" s="16" t="str">
        <f t="shared" si="7"/>
        <v>No</v>
      </c>
      <c r="H63" s="16" t="s">
        <v>108</v>
      </c>
      <c r="I63" s="16" t="str">
        <f t="shared" si="8"/>
        <v>Yes</v>
      </c>
      <c r="J63" s="27" t="str">
        <f t="shared" si="9"/>
        <v>Included</v>
      </c>
    </row>
    <row r="64" spans="1:10" x14ac:dyDescent="0.2">
      <c r="A64" s="16">
        <f t="shared" si="5"/>
        <v>57</v>
      </c>
      <c r="B64" s="27" t="s">
        <v>56</v>
      </c>
      <c r="C64" s="18">
        <v>182374</v>
      </c>
      <c r="D64" s="16" t="s">
        <v>108</v>
      </c>
      <c r="E64" s="16" t="str">
        <f t="shared" si="6"/>
        <v>No</v>
      </c>
      <c r="F64" s="16" t="s">
        <v>108</v>
      </c>
      <c r="G64" s="16" t="str">
        <f t="shared" si="7"/>
        <v>No</v>
      </c>
      <c r="H64" s="16" t="s">
        <v>108</v>
      </c>
      <c r="I64" s="16" t="str">
        <f t="shared" si="8"/>
        <v>Yes</v>
      </c>
      <c r="J64" s="27" t="str">
        <f t="shared" si="9"/>
        <v>Included</v>
      </c>
    </row>
    <row r="65" spans="1:10" x14ac:dyDescent="0.2">
      <c r="A65" s="16">
        <f t="shared" si="5"/>
        <v>58</v>
      </c>
      <c r="B65" s="27" t="s">
        <v>57</v>
      </c>
      <c r="C65" s="18">
        <v>157209</v>
      </c>
      <c r="D65" s="16" t="s">
        <v>108</v>
      </c>
      <c r="E65" s="16" t="str">
        <f t="shared" si="6"/>
        <v>No</v>
      </c>
      <c r="F65" s="16" t="s">
        <v>108</v>
      </c>
      <c r="G65" s="16" t="str">
        <f t="shared" si="7"/>
        <v>No</v>
      </c>
      <c r="H65" s="16" t="s">
        <v>108</v>
      </c>
      <c r="I65" s="16" t="str">
        <f t="shared" si="8"/>
        <v>Yes</v>
      </c>
      <c r="J65" s="27" t="str">
        <f t="shared" si="9"/>
        <v>Included</v>
      </c>
    </row>
    <row r="66" spans="1:10" x14ac:dyDescent="0.2">
      <c r="A66" s="16">
        <f t="shared" si="5"/>
        <v>59</v>
      </c>
      <c r="B66" s="27" t="s">
        <v>37</v>
      </c>
      <c r="C66" s="18">
        <v>154530</v>
      </c>
      <c r="D66" s="16" t="s">
        <v>108</v>
      </c>
      <c r="E66" s="16" t="str">
        <f t="shared" si="6"/>
        <v>No</v>
      </c>
      <c r="F66" s="16" t="s">
        <v>108</v>
      </c>
      <c r="G66" s="16" t="str">
        <f t="shared" si="7"/>
        <v>No</v>
      </c>
      <c r="H66" s="16" t="s">
        <v>108</v>
      </c>
      <c r="I66" s="16" t="str">
        <f t="shared" si="8"/>
        <v>Yes</v>
      </c>
      <c r="J66" s="27" t="str">
        <f t="shared" si="9"/>
        <v>Included</v>
      </c>
    </row>
    <row r="67" spans="1:10" x14ac:dyDescent="0.2">
      <c r="A67" s="16">
        <f t="shared" si="5"/>
        <v>60</v>
      </c>
      <c r="B67" s="15" t="s">
        <v>115</v>
      </c>
      <c r="C67" s="18">
        <v>147038</v>
      </c>
      <c r="D67" s="16" t="s">
        <v>108</v>
      </c>
      <c r="E67" s="16" t="str">
        <f t="shared" si="6"/>
        <v>No</v>
      </c>
      <c r="F67" s="16" t="s">
        <v>108</v>
      </c>
      <c r="G67" s="16" t="str">
        <f t="shared" si="7"/>
        <v>No</v>
      </c>
      <c r="H67" s="16" t="s">
        <v>108</v>
      </c>
      <c r="I67" s="16" t="str">
        <f t="shared" si="8"/>
        <v>No</v>
      </c>
      <c r="J67" s="15" t="str">
        <f t="shared" si="9"/>
        <v>Excluded: below GDP floor</v>
      </c>
    </row>
    <row r="68" spans="1:10" x14ac:dyDescent="0.2">
      <c r="A68" s="16">
        <f t="shared" si="5"/>
        <v>61</v>
      </c>
      <c r="B68" s="15" t="s">
        <v>116</v>
      </c>
      <c r="C68" s="18">
        <v>135941</v>
      </c>
      <c r="D68" s="16" t="s">
        <v>108</v>
      </c>
      <c r="E68" s="16" t="str">
        <f t="shared" si="6"/>
        <v>No</v>
      </c>
      <c r="F68" s="16" t="s">
        <v>108</v>
      </c>
      <c r="G68" s="16" t="str">
        <f t="shared" si="7"/>
        <v>No</v>
      </c>
      <c r="H68" s="16" t="s">
        <v>108</v>
      </c>
      <c r="I68" s="16" t="str">
        <f t="shared" si="8"/>
        <v>No</v>
      </c>
      <c r="J68" s="15" t="str">
        <f t="shared" si="9"/>
        <v>Excluded: below GDP floor</v>
      </c>
    </row>
    <row r="69" spans="1:10" x14ac:dyDescent="0.2">
      <c r="A69" s="16">
        <f t="shared" si="5"/>
        <v>62</v>
      </c>
      <c r="B69" s="15" t="s">
        <v>117</v>
      </c>
      <c r="C69" s="18">
        <v>130777</v>
      </c>
      <c r="D69" s="16" t="s">
        <v>108</v>
      </c>
      <c r="E69" s="16" t="str">
        <f t="shared" si="6"/>
        <v>No</v>
      </c>
      <c r="F69" s="16" t="s">
        <v>108</v>
      </c>
      <c r="G69" s="16" t="str">
        <f t="shared" si="7"/>
        <v>No</v>
      </c>
      <c r="H69" s="16" t="s">
        <v>108</v>
      </c>
      <c r="I69" s="16" t="str">
        <f t="shared" si="8"/>
        <v>No</v>
      </c>
      <c r="J69" s="15" t="str">
        <f t="shared" si="9"/>
        <v>Excluded: below GDP floor</v>
      </c>
    </row>
    <row r="70" spans="1:10" x14ac:dyDescent="0.2">
      <c r="A70" s="16">
        <f t="shared" si="5"/>
        <v>63</v>
      </c>
      <c r="B70" s="15" t="s">
        <v>118</v>
      </c>
      <c r="C70" s="18">
        <v>130321</v>
      </c>
      <c r="D70" s="16" t="s">
        <v>108</v>
      </c>
      <c r="E70" s="16" t="str">
        <f t="shared" si="6"/>
        <v>No</v>
      </c>
      <c r="F70" s="16" t="s">
        <v>108</v>
      </c>
      <c r="G70" s="16" t="str">
        <f t="shared" si="7"/>
        <v>No</v>
      </c>
      <c r="H70" s="16" t="s">
        <v>108</v>
      </c>
      <c r="I70" s="16" t="str">
        <f t="shared" si="8"/>
        <v>No</v>
      </c>
      <c r="J70" s="15" t="str">
        <f t="shared" si="9"/>
        <v>Excluded: below GDP floor</v>
      </c>
    </row>
    <row r="71" spans="1:10" x14ac:dyDescent="0.2">
      <c r="A71" s="16">
        <f t="shared" si="5"/>
        <v>64</v>
      </c>
      <c r="B71" s="15" t="s">
        <v>119</v>
      </c>
      <c r="C71" s="18">
        <v>127407</v>
      </c>
      <c r="D71" s="16" t="s">
        <v>108</v>
      </c>
      <c r="E71" s="16" t="str">
        <f t="shared" si="6"/>
        <v>No</v>
      </c>
      <c r="F71" s="16" t="s">
        <v>108</v>
      </c>
      <c r="G71" s="16" t="str">
        <f t="shared" si="7"/>
        <v>No</v>
      </c>
      <c r="H71" s="16" t="s">
        <v>108</v>
      </c>
      <c r="I71" s="16" t="str">
        <f t="shared" si="8"/>
        <v>No</v>
      </c>
      <c r="J71" s="15" t="str">
        <f t="shared" si="9"/>
        <v>Excluded: below GDP floor</v>
      </c>
    </row>
    <row r="72" spans="1:10" x14ac:dyDescent="0.2">
      <c r="A72" s="16">
        <f t="shared" ref="A72:A81" si="10">RANK(C72,$C$8:$C$81)</f>
        <v>65</v>
      </c>
      <c r="B72" s="15" t="s">
        <v>120</v>
      </c>
      <c r="C72" s="18">
        <v>126359</v>
      </c>
      <c r="D72" s="16" t="s">
        <v>108</v>
      </c>
      <c r="E72" s="16" t="str">
        <f t="shared" ref="E72:E81" si="11">IF(A72&lt;=10,"Yes","No")</f>
        <v>No</v>
      </c>
      <c r="F72" s="16" t="s">
        <v>106</v>
      </c>
      <c r="G72" s="16" t="str">
        <f t="shared" ref="G72:G103" si="12">IF(AND(E72="Yes",F72="Yes"),"Yes","No")</f>
        <v>No</v>
      </c>
      <c r="H72" s="16" t="s">
        <v>108</v>
      </c>
      <c r="I72" s="16" t="str">
        <f t="shared" ref="I72:I81" si="13">IF(C72&gt;=$C$5,"Yes","No")</f>
        <v>No</v>
      </c>
      <c r="J72" s="15" t="str">
        <f t="shared" ref="J72:J103" si="14">IF(D72="Yes","Excluded: permanent member",IF(G72="Yes","Excluded: largest economy and population",IF(H72="Yes","Excluded: nuclear-armed",IF(I72="No","Excluded: below GDP floor","Included"))))</f>
        <v>Excluded: below GDP floor</v>
      </c>
    </row>
    <row r="73" spans="1:10" x14ac:dyDescent="0.2">
      <c r="A73" s="16">
        <f t="shared" si="10"/>
        <v>66</v>
      </c>
      <c r="B73" s="15" t="s">
        <v>121</v>
      </c>
      <c r="C73" s="18">
        <v>123306</v>
      </c>
      <c r="D73" s="16" t="s">
        <v>108</v>
      </c>
      <c r="E73" s="16" t="str">
        <f t="shared" si="11"/>
        <v>No</v>
      </c>
      <c r="F73" s="16" t="s">
        <v>108</v>
      </c>
      <c r="G73" s="16" t="str">
        <f t="shared" si="12"/>
        <v>No</v>
      </c>
      <c r="H73" s="16" t="s">
        <v>108</v>
      </c>
      <c r="I73" s="16" t="str">
        <f t="shared" si="13"/>
        <v>No</v>
      </c>
      <c r="J73" s="15" t="str">
        <f t="shared" si="14"/>
        <v>Excluded: below GDP floor</v>
      </c>
    </row>
    <row r="74" spans="1:10" x14ac:dyDescent="0.2">
      <c r="A74" s="16">
        <f t="shared" si="10"/>
        <v>67</v>
      </c>
      <c r="B74" s="15" t="s">
        <v>122</v>
      </c>
      <c r="C74" s="18">
        <v>122175</v>
      </c>
      <c r="D74" s="16" t="s">
        <v>108</v>
      </c>
      <c r="E74" s="16" t="str">
        <f t="shared" si="11"/>
        <v>No</v>
      </c>
      <c r="F74" s="16" t="s">
        <v>108</v>
      </c>
      <c r="G74" s="16" t="str">
        <f t="shared" si="12"/>
        <v>No</v>
      </c>
      <c r="H74" s="16" t="s">
        <v>108</v>
      </c>
      <c r="I74" s="16" t="str">
        <f t="shared" si="13"/>
        <v>No</v>
      </c>
      <c r="J74" s="15" t="str">
        <f t="shared" si="14"/>
        <v>Excluded: below GDP floor</v>
      </c>
    </row>
    <row r="75" spans="1:10" x14ac:dyDescent="0.2">
      <c r="A75" s="16">
        <f t="shared" si="10"/>
        <v>68</v>
      </c>
      <c r="B75" s="15" t="s">
        <v>123</v>
      </c>
      <c r="C75" s="18">
        <v>114210</v>
      </c>
      <c r="D75" s="16" t="s">
        <v>108</v>
      </c>
      <c r="E75" s="16" t="str">
        <f t="shared" si="11"/>
        <v>No</v>
      </c>
      <c r="F75" s="16" t="s">
        <v>108</v>
      </c>
      <c r="G75" s="16" t="str">
        <f t="shared" si="12"/>
        <v>No</v>
      </c>
      <c r="H75" s="16" t="s">
        <v>108</v>
      </c>
      <c r="I75" s="16" t="str">
        <f t="shared" si="13"/>
        <v>No</v>
      </c>
      <c r="J75" s="15" t="str">
        <f t="shared" si="14"/>
        <v>Excluded: below GDP floor</v>
      </c>
    </row>
    <row r="76" spans="1:10" x14ac:dyDescent="0.2">
      <c r="A76" s="16">
        <f t="shared" si="10"/>
        <v>69</v>
      </c>
      <c r="B76" s="15" t="s">
        <v>124</v>
      </c>
      <c r="C76" s="18">
        <v>109605</v>
      </c>
      <c r="D76" s="16" t="s">
        <v>108</v>
      </c>
      <c r="E76" s="16" t="str">
        <f t="shared" si="11"/>
        <v>No</v>
      </c>
      <c r="F76" s="16" t="s">
        <v>108</v>
      </c>
      <c r="G76" s="16" t="str">
        <f t="shared" si="12"/>
        <v>No</v>
      </c>
      <c r="H76" s="16" t="s">
        <v>108</v>
      </c>
      <c r="I76" s="16" t="str">
        <f t="shared" si="13"/>
        <v>No</v>
      </c>
      <c r="J76" s="15" t="str">
        <f t="shared" si="14"/>
        <v>Excluded: below GDP floor</v>
      </c>
    </row>
    <row r="77" spans="1:10" x14ac:dyDescent="0.2">
      <c r="A77" s="16">
        <f t="shared" si="10"/>
        <v>70</v>
      </c>
      <c r="B77" s="15" t="s">
        <v>125</v>
      </c>
      <c r="C77" s="18">
        <v>108825</v>
      </c>
      <c r="D77" s="16" t="s">
        <v>108</v>
      </c>
      <c r="E77" s="16" t="str">
        <f t="shared" si="11"/>
        <v>No</v>
      </c>
      <c r="F77" s="16" t="s">
        <v>108</v>
      </c>
      <c r="G77" s="16" t="str">
        <f t="shared" si="12"/>
        <v>No</v>
      </c>
      <c r="H77" s="16" t="s">
        <v>108</v>
      </c>
      <c r="I77" s="16" t="str">
        <f t="shared" si="13"/>
        <v>No</v>
      </c>
      <c r="J77" s="15" t="str">
        <f t="shared" si="14"/>
        <v>Excluded: below GDP floor</v>
      </c>
    </row>
    <row r="78" spans="1:10" x14ac:dyDescent="0.2">
      <c r="A78" s="16">
        <f t="shared" si="10"/>
        <v>71</v>
      </c>
      <c r="B78" s="15" t="s">
        <v>126</v>
      </c>
      <c r="C78" s="18">
        <v>107352</v>
      </c>
      <c r="D78" s="16" t="s">
        <v>108</v>
      </c>
      <c r="E78" s="16" t="str">
        <f t="shared" si="11"/>
        <v>No</v>
      </c>
      <c r="F78" s="16" t="s">
        <v>108</v>
      </c>
      <c r="G78" s="16" t="str">
        <f t="shared" si="12"/>
        <v>No</v>
      </c>
      <c r="H78" s="16" t="s">
        <v>108</v>
      </c>
      <c r="I78" s="16" t="str">
        <f t="shared" si="13"/>
        <v>No</v>
      </c>
      <c r="J78" s="15" t="str">
        <f t="shared" si="14"/>
        <v>Excluded: below GDP floor</v>
      </c>
    </row>
    <row r="79" spans="1:10" x14ac:dyDescent="0.2">
      <c r="A79" s="16">
        <f t="shared" si="10"/>
        <v>72</v>
      </c>
      <c r="B79" s="15" t="s">
        <v>127</v>
      </c>
      <c r="C79" s="18">
        <v>105060</v>
      </c>
      <c r="D79" s="16" t="s">
        <v>108</v>
      </c>
      <c r="E79" s="16" t="str">
        <f t="shared" si="11"/>
        <v>No</v>
      </c>
      <c r="F79" s="16" t="s">
        <v>108</v>
      </c>
      <c r="G79" s="16" t="str">
        <f t="shared" si="12"/>
        <v>No</v>
      </c>
      <c r="H79" s="16" t="s">
        <v>108</v>
      </c>
      <c r="I79" s="16" t="str">
        <f t="shared" si="13"/>
        <v>No</v>
      </c>
      <c r="J79" s="15" t="str">
        <f t="shared" si="14"/>
        <v>Excluded: below GDP floor</v>
      </c>
    </row>
    <row r="80" spans="1:10" x14ac:dyDescent="0.2">
      <c r="A80" s="16">
        <f t="shared" si="10"/>
        <v>73</v>
      </c>
      <c r="B80" s="15" t="s">
        <v>128</v>
      </c>
      <c r="C80" s="18">
        <v>102905</v>
      </c>
      <c r="D80" s="16" t="s">
        <v>108</v>
      </c>
      <c r="E80" s="16" t="str">
        <f t="shared" si="11"/>
        <v>No</v>
      </c>
      <c r="F80" s="16" t="s">
        <v>108</v>
      </c>
      <c r="G80" s="16" t="str">
        <f t="shared" si="12"/>
        <v>No</v>
      </c>
      <c r="H80" s="16" t="s">
        <v>108</v>
      </c>
      <c r="I80" s="16" t="str">
        <f t="shared" si="13"/>
        <v>No</v>
      </c>
      <c r="J80" s="15" t="str">
        <f t="shared" si="14"/>
        <v>Excluded: below GDP floor</v>
      </c>
    </row>
    <row r="81" spans="1:10" x14ac:dyDescent="0.2">
      <c r="A81" s="16">
        <f t="shared" si="10"/>
        <v>74</v>
      </c>
      <c r="B81" s="15" t="s">
        <v>129</v>
      </c>
      <c r="C81" s="18">
        <v>101158</v>
      </c>
      <c r="D81" s="16" t="s">
        <v>108</v>
      </c>
      <c r="E81" s="16" t="str">
        <f t="shared" si="11"/>
        <v>No</v>
      </c>
      <c r="F81" s="16" t="s">
        <v>108</v>
      </c>
      <c r="G81" s="16" t="str">
        <f t="shared" si="12"/>
        <v>No</v>
      </c>
      <c r="H81" s="16" t="s">
        <v>108</v>
      </c>
      <c r="I81" s="16" t="str">
        <f t="shared" si="13"/>
        <v>No</v>
      </c>
      <c r="J81" s="15" t="str">
        <f t="shared" si="14"/>
        <v>Excluded: below GDP floor</v>
      </c>
    </row>
    <row r="83" spans="1:10" x14ac:dyDescent="0.2">
      <c r="A83" s="10" t="s">
        <v>130</v>
      </c>
    </row>
    <row r="84" spans="1:10" ht="26" x14ac:dyDescent="0.2">
      <c r="A84" s="14" t="s">
        <v>131</v>
      </c>
      <c r="B84" s="14" t="s">
        <v>97</v>
      </c>
      <c r="C84" s="14" t="s">
        <v>132</v>
      </c>
    </row>
    <row r="85" spans="1:10" x14ac:dyDescent="0.2">
      <c r="A85" s="16">
        <v>1</v>
      </c>
      <c r="B85" s="28" t="s">
        <v>110</v>
      </c>
      <c r="C85" s="19">
        <v>1463.9</v>
      </c>
    </row>
    <row r="86" spans="1:10" x14ac:dyDescent="0.2">
      <c r="A86" s="16">
        <v>2</v>
      </c>
      <c r="B86" s="28" t="s">
        <v>107</v>
      </c>
      <c r="C86" s="19">
        <v>1416.1</v>
      </c>
    </row>
    <row r="87" spans="1:10" x14ac:dyDescent="0.2">
      <c r="A87" s="16">
        <v>3</v>
      </c>
      <c r="B87" s="28" t="s">
        <v>105</v>
      </c>
      <c r="C87" s="19">
        <v>347.3</v>
      </c>
    </row>
    <row r="88" spans="1:10" x14ac:dyDescent="0.2">
      <c r="A88" s="16">
        <v>4</v>
      </c>
      <c r="B88" s="28" t="s">
        <v>47</v>
      </c>
      <c r="C88" s="19">
        <v>285.7</v>
      </c>
    </row>
    <row r="89" spans="1:10" x14ac:dyDescent="0.2">
      <c r="A89" s="16">
        <v>5</v>
      </c>
      <c r="B89" s="28" t="s">
        <v>114</v>
      </c>
      <c r="C89" s="19">
        <v>255.2</v>
      </c>
    </row>
    <row r="90" spans="1:10" x14ac:dyDescent="0.2">
      <c r="A90" s="16">
        <v>6</v>
      </c>
      <c r="B90" s="28" t="s">
        <v>51</v>
      </c>
      <c r="C90" s="19">
        <v>237.5</v>
      </c>
    </row>
    <row r="91" spans="1:10" x14ac:dyDescent="0.2">
      <c r="A91" s="16">
        <v>7</v>
      </c>
      <c r="B91" s="28" t="s">
        <v>38</v>
      </c>
      <c r="C91" s="19">
        <v>212.8</v>
      </c>
    </row>
    <row r="92" spans="1:10" x14ac:dyDescent="0.2">
      <c r="A92" s="16">
        <v>8</v>
      </c>
      <c r="B92" s="28" t="s">
        <v>64</v>
      </c>
      <c r="C92" s="19">
        <v>175.7</v>
      </c>
    </row>
    <row r="93" spans="1:10" x14ac:dyDescent="0.2">
      <c r="A93" s="16">
        <v>9</v>
      </c>
      <c r="B93" s="28" t="s">
        <v>112</v>
      </c>
      <c r="C93" s="19">
        <v>144</v>
      </c>
    </row>
    <row r="94" spans="1:10" x14ac:dyDescent="0.2">
      <c r="A94" s="16">
        <v>10</v>
      </c>
      <c r="B94" s="28" t="s">
        <v>120</v>
      </c>
      <c r="C94" s="19">
        <v>135.5</v>
      </c>
    </row>
    <row r="95" spans="1:10" x14ac:dyDescent="0.2">
      <c r="A95" s="16">
        <v>11</v>
      </c>
      <c r="B95" s="15" t="s">
        <v>52</v>
      </c>
      <c r="C95" s="19">
        <v>131.9</v>
      </c>
    </row>
    <row r="96" spans="1:10" x14ac:dyDescent="0.2">
      <c r="A96" s="16">
        <v>12</v>
      </c>
      <c r="B96" s="15" t="s">
        <v>33</v>
      </c>
      <c r="C96" s="19">
        <v>123.1</v>
      </c>
    </row>
    <row r="98" spans="1:10" ht="13.5" customHeight="1" x14ac:dyDescent="0.2">
      <c r="A98" s="6" t="s">
        <v>85</v>
      </c>
      <c r="B98" s="6"/>
      <c r="C98" s="6"/>
      <c r="D98" s="6"/>
      <c r="E98" s="6"/>
      <c r="F98" s="6"/>
      <c r="G98" s="6"/>
      <c r="H98" s="6"/>
      <c r="I98" s="6"/>
      <c r="J98" s="6"/>
    </row>
    <row r="99" spans="1:10" ht="13.5" customHeight="1" x14ac:dyDescent="0.2">
      <c r="A99" s="5" t="s">
        <v>133</v>
      </c>
      <c r="B99" s="5"/>
      <c r="C99" s="5"/>
      <c r="D99" s="5"/>
      <c r="E99" s="5"/>
      <c r="F99" s="5"/>
      <c r="G99" s="5"/>
      <c r="H99" s="5"/>
      <c r="I99" s="5"/>
      <c r="J99" s="5"/>
    </row>
    <row r="100" spans="1:10" ht="36" customHeight="1" x14ac:dyDescent="0.2">
      <c r="A100" s="5" t="s">
        <v>134</v>
      </c>
      <c r="B100" s="5"/>
      <c r="C100" s="5"/>
      <c r="D100" s="5"/>
      <c r="E100" s="5"/>
      <c r="F100" s="5"/>
      <c r="G100" s="5"/>
      <c r="H100" s="5"/>
      <c r="I100" s="5"/>
      <c r="J100" s="5"/>
    </row>
    <row r="101" spans="1:10" ht="24" customHeight="1" x14ac:dyDescent="0.2">
      <c r="A101" s="5" t="s">
        <v>135</v>
      </c>
      <c r="B101" s="5"/>
      <c r="C101" s="5"/>
      <c r="D101" s="5"/>
      <c r="E101" s="5"/>
      <c r="F101" s="5"/>
      <c r="G101" s="5"/>
      <c r="H101" s="5"/>
      <c r="I101" s="5"/>
      <c r="J101" s="5"/>
    </row>
    <row r="102" spans="1:10" ht="24" customHeight="1" x14ac:dyDescent="0.2">
      <c r="A102" s="5" t="s">
        <v>136</v>
      </c>
      <c r="B102" s="5"/>
      <c r="C102" s="5"/>
      <c r="D102" s="5"/>
      <c r="E102" s="5"/>
      <c r="F102" s="5"/>
      <c r="G102" s="5"/>
      <c r="H102" s="5"/>
      <c r="I102" s="5"/>
      <c r="J102" s="5"/>
    </row>
    <row r="103" spans="1:10" ht="13.5" customHeight="1" x14ac:dyDescent="0.2">
      <c r="A103" s="5" t="s">
        <v>137</v>
      </c>
      <c r="B103" s="5"/>
      <c r="C103" s="5"/>
      <c r="D103" s="5"/>
      <c r="E103" s="5"/>
      <c r="F103" s="5"/>
      <c r="G103" s="5"/>
      <c r="H103" s="5"/>
      <c r="I103" s="5"/>
      <c r="J103" s="5"/>
    </row>
    <row r="104" spans="1:10" ht="13.5" customHeight="1" x14ac:dyDescent="0.2">
      <c r="A104" s="5" t="s">
        <v>138</v>
      </c>
      <c r="B104" s="5"/>
      <c r="C104" s="5"/>
      <c r="D104" s="5"/>
      <c r="E104" s="5"/>
      <c r="F104" s="5"/>
      <c r="G104" s="5"/>
      <c r="H104" s="5"/>
      <c r="I104" s="5"/>
      <c r="J104" s="5"/>
    </row>
    <row r="105" spans="1:10" ht="13.5" customHeight="1" x14ac:dyDescent="0.2">
      <c r="A105" s="5" t="s">
        <v>139</v>
      </c>
      <c r="B105" s="5"/>
      <c r="C105" s="5"/>
      <c r="D105" s="5"/>
      <c r="E105" s="5"/>
      <c r="F105" s="5"/>
      <c r="G105" s="5"/>
      <c r="H105" s="5"/>
      <c r="I105" s="5"/>
      <c r="J105" s="5"/>
    </row>
  </sheetData>
  <autoFilter ref="A7:J81" xr:uid="{00000000-0009-0000-0000-000002000000}"/>
  <mergeCells count="11">
    <mergeCell ref="A105:J105"/>
    <mergeCell ref="A100:J100"/>
    <mergeCell ref="A101:J101"/>
    <mergeCell ref="A102:J102"/>
    <mergeCell ref="A103:J103"/>
    <mergeCell ref="A104:J104"/>
    <mergeCell ref="A1:J1"/>
    <mergeCell ref="A2:J2"/>
    <mergeCell ref="A3:J3"/>
    <mergeCell ref="A98:J98"/>
    <mergeCell ref="A99:J99"/>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00"/>
  <sheetViews>
    <sheetView tabSelected="1" zoomScale="94" zoomScaleNormal="150" workbookViewId="0">
      <pane xSplit="2" ySplit="5" topLeftCell="C6" activePane="bottomRight" state="frozen"/>
      <selection pane="topRight"/>
      <selection pane="bottomLeft"/>
      <selection pane="bottomRight" sqref="A1:M1"/>
    </sheetView>
  </sheetViews>
  <sheetFormatPr baseColWidth="10" defaultColWidth="8.6640625" defaultRowHeight="15" x14ac:dyDescent="0.2"/>
  <cols>
    <col min="1" max="1" width="19" customWidth="1"/>
    <col min="2" max="2" width="12" customWidth="1"/>
    <col min="3" max="4" width="10" customWidth="1"/>
    <col min="5" max="5" width="13" customWidth="1"/>
    <col min="6" max="6" width="14" customWidth="1"/>
    <col min="7" max="7" width="11" customWidth="1"/>
    <col min="8" max="8" width="16" customWidth="1"/>
    <col min="9" max="10" width="13" customWidth="1"/>
    <col min="11" max="11" width="17" customWidth="1"/>
    <col min="12" max="12" width="15" customWidth="1"/>
    <col min="13" max="13" width="13" customWidth="1"/>
  </cols>
  <sheetData>
    <row r="1" spans="1:13" ht="25.5" customHeight="1" x14ac:dyDescent="0.2">
      <c r="A1" s="4" t="s">
        <v>140</v>
      </c>
      <c r="B1" s="4"/>
      <c r="C1" s="4"/>
      <c r="D1" s="4"/>
      <c r="E1" s="4"/>
      <c r="F1" s="4"/>
      <c r="G1" s="4"/>
      <c r="H1" s="4"/>
      <c r="I1" s="4"/>
      <c r="J1" s="4"/>
      <c r="K1" s="4"/>
      <c r="L1" s="4"/>
      <c r="M1" s="4"/>
    </row>
    <row r="2" spans="1:13" x14ac:dyDescent="0.2">
      <c r="A2" s="3" t="s">
        <v>141</v>
      </c>
      <c r="B2" s="3"/>
      <c r="C2" s="3"/>
      <c r="D2" s="3"/>
      <c r="E2" s="3"/>
      <c r="F2" s="3"/>
      <c r="G2" s="3"/>
      <c r="H2" s="3"/>
      <c r="I2" s="3"/>
      <c r="J2" s="3"/>
      <c r="K2" s="3"/>
      <c r="L2" s="3"/>
      <c r="M2" s="3"/>
    </row>
    <row r="3" spans="1:13" x14ac:dyDescent="0.2">
      <c r="A3" s="3" t="s">
        <v>142</v>
      </c>
      <c r="B3" s="3"/>
      <c r="C3" s="3"/>
      <c r="D3" s="3"/>
      <c r="E3" s="3"/>
      <c r="F3" s="3"/>
      <c r="G3" s="3"/>
      <c r="H3" s="3"/>
      <c r="I3" s="3"/>
      <c r="J3" s="3"/>
      <c r="K3" s="3"/>
      <c r="L3" s="3"/>
      <c r="M3" s="3"/>
    </row>
    <row r="5" spans="1:13" ht="69.75" customHeight="1" x14ac:dyDescent="0.2">
      <c r="A5" s="29" t="s">
        <v>5</v>
      </c>
      <c r="B5" s="29" t="s">
        <v>143</v>
      </c>
      <c r="C5" s="29" t="s">
        <v>144</v>
      </c>
      <c r="D5" s="29" t="s">
        <v>145</v>
      </c>
      <c r="E5" s="29" t="s">
        <v>146</v>
      </c>
      <c r="F5" s="29" t="s">
        <v>147</v>
      </c>
      <c r="G5" s="29" t="s">
        <v>148</v>
      </c>
      <c r="H5" s="29" t="s">
        <v>149</v>
      </c>
      <c r="I5" s="29" t="s">
        <v>150</v>
      </c>
      <c r="J5" s="29" t="s">
        <v>151</v>
      </c>
      <c r="K5" s="30" t="s">
        <v>152</v>
      </c>
      <c r="L5" s="30" t="s">
        <v>153</v>
      </c>
      <c r="M5" s="29" t="s">
        <v>154</v>
      </c>
    </row>
    <row r="6" spans="1:13" x14ac:dyDescent="0.2">
      <c r="A6" s="31" t="s">
        <v>155</v>
      </c>
      <c r="B6" s="32" t="s">
        <v>14</v>
      </c>
      <c r="C6" s="32"/>
      <c r="D6" s="32" t="s">
        <v>156</v>
      </c>
      <c r="E6" s="33">
        <v>220167</v>
      </c>
      <c r="F6" s="33">
        <v>8906</v>
      </c>
      <c r="G6" s="34">
        <f t="shared" ref="G6:G37" si="0">F6*1000000/E6/1000000</f>
        <v>4.0451112110352593E-2</v>
      </c>
      <c r="H6" s="35">
        <v>436707</v>
      </c>
      <c r="I6" s="36">
        <f t="shared" ref="I6:I37" si="1">H6/(F6*1000000)*100</f>
        <v>4.9035144846171124E-3</v>
      </c>
      <c r="J6" s="37">
        <f t="shared" ref="J6:J37" si="2">H6/(G6*1000000)</f>
        <v>10.795920735346957</v>
      </c>
      <c r="K6" s="38">
        <f t="shared" ref="K6:K37" si="3">E6*0.0001</f>
        <v>22.0167</v>
      </c>
      <c r="L6" s="35">
        <f t="shared" ref="L6:L37" si="4">F6*1000000*0.0001</f>
        <v>890600</v>
      </c>
      <c r="M6" s="39">
        <f t="shared" ref="M6:M37" si="5">I6/0.01</f>
        <v>0.49035144846171125</v>
      </c>
    </row>
    <row r="7" spans="1:13" x14ac:dyDescent="0.2">
      <c r="A7" s="31" t="s">
        <v>15</v>
      </c>
      <c r="B7" s="32" t="s">
        <v>14</v>
      </c>
      <c r="C7" s="40" t="s">
        <v>106</v>
      </c>
      <c r="D7" s="41">
        <v>0.85499999999999998</v>
      </c>
      <c r="E7" s="35">
        <v>63133</v>
      </c>
      <c r="F7" s="35">
        <v>668999</v>
      </c>
      <c r="G7" s="34">
        <f t="shared" si="0"/>
        <v>10.596661017217619</v>
      </c>
      <c r="H7" s="35">
        <v>28129243</v>
      </c>
      <c r="I7" s="36">
        <f t="shared" si="1"/>
        <v>4.2046763896508065E-3</v>
      </c>
      <c r="J7" s="37">
        <f t="shared" si="2"/>
        <v>2.6545383450782438</v>
      </c>
      <c r="K7" s="38">
        <f t="shared" si="3"/>
        <v>6.3132999999999999</v>
      </c>
      <c r="L7" s="35">
        <f t="shared" si="4"/>
        <v>66899900</v>
      </c>
      <c r="M7" s="39">
        <f t="shared" si="5"/>
        <v>0.42046763896508066</v>
      </c>
    </row>
    <row r="8" spans="1:13" x14ac:dyDescent="0.2">
      <c r="A8" s="31" t="s">
        <v>17</v>
      </c>
      <c r="B8" s="32" t="s">
        <v>14</v>
      </c>
      <c r="C8" s="40" t="s">
        <v>106</v>
      </c>
      <c r="D8" s="41">
        <v>0.84399999999999997</v>
      </c>
      <c r="E8" s="35">
        <v>94594</v>
      </c>
      <c r="F8" s="35">
        <v>530756</v>
      </c>
      <c r="G8" s="34">
        <f t="shared" si="0"/>
        <v>5.6108844112734424</v>
      </c>
      <c r="H8" s="35">
        <v>20757711</v>
      </c>
      <c r="I8" s="36">
        <f t="shared" si="1"/>
        <v>3.9109705778173024E-3</v>
      </c>
      <c r="J8" s="37">
        <f t="shared" si="2"/>
        <v>3.6995435083804988</v>
      </c>
      <c r="K8" s="38">
        <f t="shared" si="3"/>
        <v>9.4594000000000005</v>
      </c>
      <c r="L8" s="35">
        <f t="shared" si="4"/>
        <v>53075600</v>
      </c>
      <c r="M8" s="39">
        <f t="shared" si="5"/>
        <v>0.39109705778173021</v>
      </c>
    </row>
    <row r="9" spans="1:13" x14ac:dyDescent="0.2">
      <c r="A9" s="31" t="s">
        <v>20</v>
      </c>
      <c r="B9" s="32" t="s">
        <v>14</v>
      </c>
      <c r="C9" s="40" t="s">
        <v>106</v>
      </c>
      <c r="D9" s="41">
        <v>0.81299999999999994</v>
      </c>
      <c r="E9" s="35">
        <v>56149</v>
      </c>
      <c r="F9" s="35">
        <v>317039</v>
      </c>
      <c r="G9" s="34">
        <f t="shared" si="0"/>
        <v>5.6463872909579864</v>
      </c>
      <c r="H9" s="35">
        <v>9229402</v>
      </c>
      <c r="I9" s="36">
        <f t="shared" si="1"/>
        <v>2.9111251297159026E-3</v>
      </c>
      <c r="J9" s="37">
        <f t="shared" si="2"/>
        <v>1.6345676490841823</v>
      </c>
      <c r="K9" s="38">
        <f t="shared" si="3"/>
        <v>5.6149000000000004</v>
      </c>
      <c r="L9" s="35">
        <f t="shared" si="4"/>
        <v>31703900</v>
      </c>
      <c r="M9" s="42">
        <f t="shared" si="5"/>
        <v>0.29111251297159024</v>
      </c>
    </row>
    <row r="10" spans="1:13" x14ac:dyDescent="0.2">
      <c r="A10" s="31" t="s">
        <v>129</v>
      </c>
      <c r="B10" s="32" t="s">
        <v>14</v>
      </c>
      <c r="C10" s="32"/>
      <c r="D10" s="41">
        <v>0.78400000000000003</v>
      </c>
      <c r="E10" s="35">
        <v>147252</v>
      </c>
      <c r="F10" s="35">
        <v>101158</v>
      </c>
      <c r="G10" s="34">
        <f t="shared" si="0"/>
        <v>0.68697199358922112</v>
      </c>
      <c r="H10" s="35">
        <v>2343703</v>
      </c>
      <c r="I10" s="36">
        <f t="shared" si="1"/>
        <v>2.3168736036695073E-3</v>
      </c>
      <c r="J10" s="37">
        <f t="shared" si="2"/>
        <v>3.4116427188754228</v>
      </c>
      <c r="K10" s="38">
        <f t="shared" si="3"/>
        <v>14.725200000000001</v>
      </c>
      <c r="L10" s="35">
        <f t="shared" si="4"/>
        <v>10115800</v>
      </c>
      <c r="M10" s="42">
        <f t="shared" si="5"/>
        <v>0.23168736036695073</v>
      </c>
    </row>
    <row r="11" spans="1:13" x14ac:dyDescent="0.2">
      <c r="A11" s="31" t="s">
        <v>13</v>
      </c>
      <c r="B11" s="32" t="s">
        <v>14</v>
      </c>
      <c r="C11" s="40" t="s">
        <v>106</v>
      </c>
      <c r="D11" s="41">
        <v>0.88400000000000001</v>
      </c>
      <c r="E11" s="35">
        <v>76970</v>
      </c>
      <c r="F11" s="35">
        <v>462527</v>
      </c>
      <c r="G11" s="34">
        <f t="shared" si="0"/>
        <v>6.0091853969078866</v>
      </c>
      <c r="H11" s="35">
        <v>9706269</v>
      </c>
      <c r="I11" s="36">
        <f t="shared" si="1"/>
        <v>2.0985302479639028E-3</v>
      </c>
      <c r="J11" s="37">
        <f t="shared" si="2"/>
        <v>1.6152387318578159</v>
      </c>
      <c r="K11" s="38">
        <f t="shared" si="3"/>
        <v>7.6970000000000001</v>
      </c>
      <c r="L11" s="35">
        <f t="shared" si="4"/>
        <v>46252700</v>
      </c>
      <c r="M11" s="42">
        <f t="shared" si="5"/>
        <v>0.20985302479639029</v>
      </c>
    </row>
    <row r="12" spans="1:13" x14ac:dyDescent="0.2">
      <c r="A12" s="31" t="s">
        <v>157</v>
      </c>
      <c r="B12" s="32" t="s">
        <v>14</v>
      </c>
      <c r="C12" s="32"/>
      <c r="D12" s="41">
        <v>0.74299999999999999</v>
      </c>
      <c r="E12" s="35">
        <v>98324</v>
      </c>
      <c r="F12" s="35">
        <v>38583</v>
      </c>
      <c r="G12" s="34">
        <f t="shared" si="0"/>
        <v>0.39240673691062206</v>
      </c>
      <c r="H12" s="35">
        <v>456960</v>
      </c>
      <c r="I12" s="36">
        <f t="shared" si="1"/>
        <v>1.1843558043698002E-3</v>
      </c>
      <c r="J12" s="37">
        <f t="shared" si="2"/>
        <v>1.1645060010885622</v>
      </c>
      <c r="K12" s="38">
        <f t="shared" si="3"/>
        <v>9.8323999999999998</v>
      </c>
      <c r="L12" s="35">
        <f t="shared" si="4"/>
        <v>3858300</v>
      </c>
      <c r="M12" s="42">
        <f t="shared" si="5"/>
        <v>0.11843558043698001</v>
      </c>
    </row>
    <row r="13" spans="1:13" x14ac:dyDescent="0.2">
      <c r="A13" s="31" t="s">
        <v>24</v>
      </c>
      <c r="B13" s="32" t="s">
        <v>14</v>
      </c>
      <c r="C13" s="40" t="s">
        <v>106</v>
      </c>
      <c r="D13" s="41">
        <v>0.78800000000000003</v>
      </c>
      <c r="E13" s="35">
        <v>73684</v>
      </c>
      <c r="F13" s="35">
        <v>1332768</v>
      </c>
      <c r="G13" s="34">
        <f t="shared" si="0"/>
        <v>18.087617393192552</v>
      </c>
      <c r="H13" s="35">
        <v>15317919</v>
      </c>
      <c r="I13" s="36">
        <f t="shared" si="1"/>
        <v>1.1493312414463733E-3</v>
      </c>
      <c r="J13" s="37">
        <f t="shared" si="2"/>
        <v>0.84687323194734565</v>
      </c>
      <c r="K13" s="38">
        <f t="shared" si="3"/>
        <v>7.3684000000000003</v>
      </c>
      <c r="L13" s="35">
        <f t="shared" si="4"/>
        <v>133276800</v>
      </c>
      <c r="M13" s="42">
        <f t="shared" si="5"/>
        <v>0.11493312414463733</v>
      </c>
    </row>
    <row r="14" spans="1:13" x14ac:dyDescent="0.2">
      <c r="A14" s="31" t="s">
        <v>16</v>
      </c>
      <c r="B14" s="32" t="s">
        <v>14</v>
      </c>
      <c r="C14" s="40" t="s">
        <v>106</v>
      </c>
      <c r="D14" s="41">
        <v>0.84499999999999997</v>
      </c>
      <c r="E14" s="35">
        <v>114769</v>
      </c>
      <c r="F14" s="35">
        <v>1043530</v>
      </c>
      <c r="G14" s="34">
        <f t="shared" si="0"/>
        <v>9.0924378534273185</v>
      </c>
      <c r="H14" s="35">
        <v>10221489</v>
      </c>
      <c r="I14" s="36">
        <f t="shared" si="1"/>
        <v>9.7951079508974345E-4</v>
      </c>
      <c r="J14" s="37">
        <f t="shared" si="2"/>
        <v>1.1241747444165477</v>
      </c>
      <c r="K14" s="38">
        <f t="shared" si="3"/>
        <v>11.476900000000001</v>
      </c>
      <c r="L14" s="35">
        <f t="shared" si="4"/>
        <v>104353000</v>
      </c>
      <c r="M14" s="43">
        <f t="shared" si="5"/>
        <v>9.7951079508974345E-2</v>
      </c>
    </row>
    <row r="15" spans="1:13" x14ac:dyDescent="0.2">
      <c r="A15" s="31" t="s">
        <v>21</v>
      </c>
      <c r="B15" s="32" t="s">
        <v>14</v>
      </c>
      <c r="C15" s="40" t="s">
        <v>106</v>
      </c>
      <c r="D15" s="41">
        <v>0.81100000000000005</v>
      </c>
      <c r="E15" s="35">
        <v>49591</v>
      </c>
      <c r="F15" s="35">
        <v>264057</v>
      </c>
      <c r="G15" s="34">
        <f t="shared" si="0"/>
        <v>5.3246960133895263</v>
      </c>
      <c r="H15" s="35">
        <v>2134467</v>
      </c>
      <c r="I15" s="36">
        <f t="shared" si="1"/>
        <v>8.083357002465376E-4</v>
      </c>
      <c r="J15" s="37">
        <f t="shared" si="2"/>
        <v>0.40086175710926053</v>
      </c>
      <c r="K15" s="38">
        <f t="shared" si="3"/>
        <v>4.9591000000000003</v>
      </c>
      <c r="L15" s="35">
        <f t="shared" si="4"/>
        <v>26405700</v>
      </c>
      <c r="M15" s="43">
        <f t="shared" si="5"/>
        <v>8.0833570024653759E-2</v>
      </c>
    </row>
    <row r="16" spans="1:13" x14ac:dyDescent="0.2">
      <c r="A16" s="31" t="s">
        <v>18</v>
      </c>
      <c r="B16" s="32" t="s">
        <v>14</v>
      </c>
      <c r="C16" s="40" t="s">
        <v>106</v>
      </c>
      <c r="D16" s="41">
        <v>0.82799999999999996</v>
      </c>
      <c r="E16" s="35">
        <v>131593</v>
      </c>
      <c r="F16" s="35">
        <v>721701</v>
      </c>
      <c r="G16" s="34">
        <f t="shared" si="0"/>
        <v>5.4843418722880397</v>
      </c>
      <c r="H16" s="35">
        <v>5509064</v>
      </c>
      <c r="I16" s="36">
        <f t="shared" si="1"/>
        <v>7.6334437668785279E-4</v>
      </c>
      <c r="J16" s="37">
        <f t="shared" si="2"/>
        <v>1.004507765614846</v>
      </c>
      <c r="K16" s="38">
        <f t="shared" si="3"/>
        <v>13.1593</v>
      </c>
      <c r="L16" s="35">
        <f t="shared" si="4"/>
        <v>72170100</v>
      </c>
      <c r="M16" s="43">
        <f t="shared" si="5"/>
        <v>7.6334437668785282E-2</v>
      </c>
    </row>
    <row r="17" spans="1:13" x14ac:dyDescent="0.2">
      <c r="A17" s="31" t="s">
        <v>19</v>
      </c>
      <c r="B17" s="32" t="s">
        <v>14</v>
      </c>
      <c r="C17" s="40" t="s">
        <v>106</v>
      </c>
      <c r="D17" s="41">
        <v>0.81499999999999995</v>
      </c>
      <c r="E17" s="35">
        <v>60750</v>
      </c>
      <c r="F17" s="35">
        <v>725466</v>
      </c>
      <c r="G17" s="34">
        <f t="shared" si="0"/>
        <v>11.941827160493826</v>
      </c>
      <c r="H17" s="35">
        <v>5451664</v>
      </c>
      <c r="I17" s="36">
        <f t="shared" si="1"/>
        <v>7.5147064093975457E-4</v>
      </c>
      <c r="J17" s="37">
        <f t="shared" si="2"/>
        <v>0.45651841437090096</v>
      </c>
      <c r="K17" s="38">
        <f t="shared" si="3"/>
        <v>6.0750000000000002</v>
      </c>
      <c r="L17" s="35">
        <f t="shared" si="4"/>
        <v>72546600</v>
      </c>
      <c r="M17" s="43">
        <f t="shared" si="5"/>
        <v>7.5147064093975452E-2</v>
      </c>
    </row>
    <row r="18" spans="1:13" x14ac:dyDescent="0.2">
      <c r="A18" s="31" t="s">
        <v>158</v>
      </c>
      <c r="B18" s="32" t="s">
        <v>14</v>
      </c>
      <c r="C18" s="32"/>
      <c r="D18" s="32" t="s">
        <v>156</v>
      </c>
      <c r="E18" s="35">
        <v>54292</v>
      </c>
      <c r="F18" s="35">
        <v>4501</v>
      </c>
      <c r="G18" s="34">
        <f t="shared" si="0"/>
        <v>8.2903558535327493E-2</v>
      </c>
      <c r="H18" s="35">
        <v>27773</v>
      </c>
      <c r="I18" s="36">
        <f t="shared" si="1"/>
        <v>6.1704065763163742E-4</v>
      </c>
      <c r="J18" s="37">
        <f t="shared" si="2"/>
        <v>0.33500371384136857</v>
      </c>
      <c r="K18" s="38">
        <f t="shared" si="3"/>
        <v>5.4292000000000007</v>
      </c>
      <c r="L18" s="35">
        <f t="shared" si="4"/>
        <v>450100</v>
      </c>
      <c r="M18" s="43">
        <f t="shared" si="5"/>
        <v>6.1704065763163743E-2</v>
      </c>
    </row>
    <row r="19" spans="1:13" x14ac:dyDescent="0.2">
      <c r="A19" s="31" t="s">
        <v>159</v>
      </c>
      <c r="B19" s="32" t="s">
        <v>14</v>
      </c>
      <c r="C19" s="32"/>
      <c r="D19" s="32" t="s">
        <v>156</v>
      </c>
      <c r="E19" s="33">
        <v>288002</v>
      </c>
      <c r="F19" s="33">
        <v>11126</v>
      </c>
      <c r="G19" s="34">
        <f t="shared" si="0"/>
        <v>3.8631676168915496E-2</v>
      </c>
      <c r="H19" s="35">
        <v>66768</v>
      </c>
      <c r="I19" s="36">
        <f t="shared" si="1"/>
        <v>6.0010785547366522E-4</v>
      </c>
      <c r="J19" s="37">
        <f t="shared" si="2"/>
        <v>1.7283226259212654</v>
      </c>
      <c r="K19" s="38">
        <f t="shared" si="3"/>
        <v>28.8002</v>
      </c>
      <c r="L19" s="35">
        <f t="shared" si="4"/>
        <v>1112600</v>
      </c>
      <c r="M19" s="43">
        <f t="shared" si="5"/>
        <v>6.0010785547366524E-2</v>
      </c>
    </row>
    <row r="20" spans="1:13" x14ac:dyDescent="0.2">
      <c r="A20" s="31" t="s">
        <v>160</v>
      </c>
      <c r="B20" s="32" t="s">
        <v>34</v>
      </c>
      <c r="C20" s="32"/>
      <c r="D20" s="41">
        <v>0.65200000000000002</v>
      </c>
      <c r="E20" s="35">
        <v>41783</v>
      </c>
      <c r="F20" s="35">
        <v>41226</v>
      </c>
      <c r="G20" s="34">
        <f t="shared" si="0"/>
        <v>0.98666921953904696</v>
      </c>
      <c r="H20" s="35">
        <v>242342</v>
      </c>
      <c r="I20" s="36">
        <f t="shared" si="1"/>
        <v>5.8783777227962937E-4</v>
      </c>
      <c r="J20" s="37">
        <f t="shared" si="2"/>
        <v>0.24561625639159754</v>
      </c>
      <c r="K20" s="38">
        <f t="shared" si="3"/>
        <v>4.1783000000000001</v>
      </c>
      <c r="L20" s="35">
        <f t="shared" si="4"/>
        <v>4122600</v>
      </c>
      <c r="M20" s="43">
        <f t="shared" si="5"/>
        <v>5.8783777227962936E-2</v>
      </c>
    </row>
    <row r="21" spans="1:13" x14ac:dyDescent="0.2">
      <c r="A21" s="31" t="s">
        <v>22</v>
      </c>
      <c r="B21" s="32" t="s">
        <v>14</v>
      </c>
      <c r="C21" s="40" t="s">
        <v>106</v>
      </c>
      <c r="D21" s="41">
        <v>0.79800000000000004</v>
      </c>
      <c r="E21" s="35">
        <v>60496</v>
      </c>
      <c r="F21" s="35">
        <v>5050923</v>
      </c>
      <c r="G21" s="34">
        <f t="shared" si="0"/>
        <v>83.491850700872774</v>
      </c>
      <c r="H21" s="35">
        <v>22134646</v>
      </c>
      <c r="I21" s="36">
        <f t="shared" si="1"/>
        <v>4.3822972553729284E-4</v>
      </c>
      <c r="J21" s="37">
        <f t="shared" si="2"/>
        <v>0.2651114547610407</v>
      </c>
      <c r="K21" s="38">
        <f t="shared" si="3"/>
        <v>6.0495999999999999</v>
      </c>
      <c r="L21" s="35">
        <f t="shared" si="4"/>
        <v>505092300</v>
      </c>
      <c r="M21" s="43">
        <f t="shared" si="5"/>
        <v>4.3822972553729279E-2</v>
      </c>
    </row>
    <row r="22" spans="1:13" x14ac:dyDescent="0.2">
      <c r="A22" s="31" t="s">
        <v>66</v>
      </c>
      <c r="B22" s="32" t="s">
        <v>34</v>
      </c>
      <c r="C22" s="40" t="s">
        <v>106</v>
      </c>
      <c r="D22" s="41">
        <v>8.5999999999999993E-2</v>
      </c>
      <c r="E22" s="35">
        <v>72525</v>
      </c>
      <c r="F22" s="35">
        <v>215560</v>
      </c>
      <c r="G22" s="34">
        <f t="shared" si="0"/>
        <v>2.97221647707687</v>
      </c>
      <c r="H22" s="35">
        <v>854000</v>
      </c>
      <c r="I22" s="36">
        <f t="shared" si="1"/>
        <v>3.9617739840415661E-4</v>
      </c>
      <c r="J22" s="37">
        <f t="shared" si="2"/>
        <v>0.28732765819261458</v>
      </c>
      <c r="K22" s="38">
        <f t="shared" si="3"/>
        <v>7.2525000000000004</v>
      </c>
      <c r="L22" s="35">
        <f t="shared" si="4"/>
        <v>21556000</v>
      </c>
      <c r="M22" s="43">
        <f t="shared" si="5"/>
        <v>3.961773984041566E-2</v>
      </c>
    </row>
    <row r="23" spans="1:13" x14ac:dyDescent="0.2">
      <c r="A23" s="31" t="s">
        <v>32</v>
      </c>
      <c r="B23" s="32" t="s">
        <v>14</v>
      </c>
      <c r="C23" s="40" t="s">
        <v>106</v>
      </c>
      <c r="D23" s="41">
        <v>0.74299999999999999</v>
      </c>
      <c r="E23" s="35">
        <v>55698</v>
      </c>
      <c r="F23" s="35">
        <v>2319900</v>
      </c>
      <c r="G23" s="34">
        <f t="shared" si="0"/>
        <v>41.651405795540235</v>
      </c>
      <c r="H23" s="35">
        <v>6898873</v>
      </c>
      <c r="I23" s="36">
        <f t="shared" si="1"/>
        <v>2.9737803353592826E-4</v>
      </c>
      <c r="J23" s="37">
        <f t="shared" si="2"/>
        <v>0.16563361711884134</v>
      </c>
      <c r="K23" s="38">
        <f t="shared" si="3"/>
        <v>5.5697999999999999</v>
      </c>
      <c r="L23" s="35">
        <f t="shared" si="4"/>
        <v>231990000</v>
      </c>
      <c r="M23" s="43">
        <f t="shared" si="5"/>
        <v>2.9737803353592825E-2</v>
      </c>
    </row>
    <row r="24" spans="1:13" x14ac:dyDescent="0.2">
      <c r="A24" s="31" t="s">
        <v>57</v>
      </c>
      <c r="B24" s="32" t="s">
        <v>34</v>
      </c>
      <c r="C24" s="40" t="s">
        <v>106</v>
      </c>
      <c r="D24" s="41">
        <v>0.23100000000000001</v>
      </c>
      <c r="E24" s="35">
        <v>32312</v>
      </c>
      <c r="F24" s="35">
        <v>157209</v>
      </c>
      <c r="G24" s="34">
        <f t="shared" si="0"/>
        <v>4.8653441445902459</v>
      </c>
      <c r="H24" s="35">
        <v>442215</v>
      </c>
      <c r="I24" s="36">
        <f t="shared" si="1"/>
        <v>2.8129114745339008E-4</v>
      </c>
      <c r="J24" s="37">
        <f t="shared" si="2"/>
        <v>9.089079556513939E-2</v>
      </c>
      <c r="K24" s="38">
        <f t="shared" si="3"/>
        <v>3.2312000000000003</v>
      </c>
      <c r="L24" s="35">
        <f t="shared" si="4"/>
        <v>15720900</v>
      </c>
      <c r="M24" s="43">
        <f t="shared" si="5"/>
        <v>2.8129114745339006E-2</v>
      </c>
    </row>
    <row r="25" spans="1:13" x14ac:dyDescent="0.2">
      <c r="A25" s="31" t="s">
        <v>109</v>
      </c>
      <c r="B25" s="32" t="s">
        <v>14</v>
      </c>
      <c r="C25" s="32"/>
      <c r="D25" s="41">
        <v>0.752</v>
      </c>
      <c r="E25" s="35">
        <v>57602</v>
      </c>
      <c r="F25" s="35">
        <v>4002588</v>
      </c>
      <c r="G25" s="34">
        <f t="shared" si="0"/>
        <v>69.48696225825492</v>
      </c>
      <c r="H25" s="35">
        <v>10225789</v>
      </c>
      <c r="I25" s="36">
        <f t="shared" si="1"/>
        <v>2.5547942980891364E-4</v>
      </c>
      <c r="J25" s="37">
        <f t="shared" si="2"/>
        <v>0.14716126115853045</v>
      </c>
      <c r="K25" s="38">
        <f t="shared" si="3"/>
        <v>5.7602000000000002</v>
      </c>
      <c r="L25" s="35">
        <f t="shared" si="4"/>
        <v>400258800</v>
      </c>
      <c r="M25" s="43">
        <f t="shared" si="5"/>
        <v>2.5547942980891362E-2</v>
      </c>
    </row>
    <row r="26" spans="1:13" x14ac:dyDescent="0.2">
      <c r="A26" s="31" t="s">
        <v>29</v>
      </c>
      <c r="B26" s="32" t="s">
        <v>14</v>
      </c>
      <c r="C26" s="40" t="s">
        <v>106</v>
      </c>
      <c r="D26" s="41">
        <v>0.76800000000000002</v>
      </c>
      <c r="E26" s="35">
        <v>62930</v>
      </c>
      <c r="F26" s="35">
        <v>579470</v>
      </c>
      <c r="G26" s="34">
        <f t="shared" si="0"/>
        <v>9.2081678054981726</v>
      </c>
      <c r="H26" s="35">
        <v>1462691</v>
      </c>
      <c r="I26" s="36">
        <f t="shared" si="1"/>
        <v>2.5241876197214697E-4</v>
      </c>
      <c r="J26" s="37">
        <f t="shared" si="2"/>
        <v>0.15884712690907207</v>
      </c>
      <c r="K26" s="38">
        <f t="shared" si="3"/>
        <v>6.2930000000000001</v>
      </c>
      <c r="L26" s="35">
        <f t="shared" si="4"/>
        <v>57947000</v>
      </c>
      <c r="M26" s="43">
        <f t="shared" si="5"/>
        <v>2.5241876197214696E-2</v>
      </c>
    </row>
    <row r="27" spans="1:13" x14ac:dyDescent="0.2">
      <c r="A27" s="31" t="s">
        <v>30</v>
      </c>
      <c r="B27" s="32" t="s">
        <v>14</v>
      </c>
      <c r="C27" s="40" t="s">
        <v>106</v>
      </c>
      <c r="D27" s="41">
        <v>0.76</v>
      </c>
      <c r="E27" s="35">
        <v>38627</v>
      </c>
      <c r="F27" s="35">
        <v>1906453</v>
      </c>
      <c r="G27" s="34">
        <f t="shared" si="0"/>
        <v>49.3554508504414</v>
      </c>
      <c r="H27" s="35">
        <v>3809919</v>
      </c>
      <c r="I27" s="36">
        <f t="shared" si="1"/>
        <v>1.9984332160299782E-4</v>
      </c>
      <c r="J27" s="37">
        <f t="shared" si="2"/>
        <v>7.7193479835589968E-2</v>
      </c>
      <c r="K27" s="38">
        <f t="shared" si="3"/>
        <v>3.8627000000000002</v>
      </c>
      <c r="L27" s="35">
        <f t="shared" si="4"/>
        <v>190645300</v>
      </c>
      <c r="M27" s="43">
        <f t="shared" si="5"/>
        <v>1.9984332160299781E-2</v>
      </c>
    </row>
    <row r="28" spans="1:13" x14ac:dyDescent="0.2">
      <c r="A28" s="31" t="s">
        <v>68</v>
      </c>
      <c r="B28" s="32" t="s">
        <v>34</v>
      </c>
      <c r="C28" s="40" t="s">
        <v>106</v>
      </c>
      <c r="D28" s="41">
        <v>4.5999999999999999E-2</v>
      </c>
      <c r="E28" s="35">
        <v>34537</v>
      </c>
      <c r="F28" s="35">
        <v>1276943</v>
      </c>
      <c r="G28" s="34">
        <f t="shared" si="0"/>
        <v>36.973188175000729</v>
      </c>
      <c r="H28" s="35">
        <v>2450853</v>
      </c>
      <c r="I28" s="36">
        <f t="shared" si="1"/>
        <v>1.9193127649393905E-4</v>
      </c>
      <c r="J28" s="37">
        <f t="shared" si="2"/>
        <v>6.6287304962711721E-2</v>
      </c>
      <c r="K28" s="38">
        <f t="shared" si="3"/>
        <v>3.4537</v>
      </c>
      <c r="L28" s="35">
        <f t="shared" si="4"/>
        <v>127694300</v>
      </c>
      <c r="M28" s="43">
        <f t="shared" si="5"/>
        <v>1.9193127649393904E-2</v>
      </c>
    </row>
    <row r="29" spans="1:13" x14ac:dyDescent="0.2">
      <c r="A29" s="31" t="s">
        <v>56</v>
      </c>
      <c r="B29" s="32" t="s">
        <v>40</v>
      </c>
      <c r="C29" s="40" t="s">
        <v>106</v>
      </c>
      <c r="D29" s="41">
        <v>0.249</v>
      </c>
      <c r="E29" s="35">
        <v>4673</v>
      </c>
      <c r="F29" s="35">
        <v>182374</v>
      </c>
      <c r="G29" s="34">
        <f t="shared" si="0"/>
        <v>39.027177402097152</v>
      </c>
      <c r="H29" s="35">
        <v>340000</v>
      </c>
      <c r="I29" s="36">
        <f t="shared" si="1"/>
        <v>1.8643008323554892E-4</v>
      </c>
      <c r="J29" s="37">
        <f t="shared" si="2"/>
        <v>8.7118777895972017E-3</v>
      </c>
      <c r="K29" s="38">
        <f t="shared" si="3"/>
        <v>0.46730000000000005</v>
      </c>
      <c r="L29" s="35">
        <f t="shared" si="4"/>
        <v>18237400</v>
      </c>
      <c r="M29" s="43">
        <f t="shared" si="5"/>
        <v>1.864300832355489E-2</v>
      </c>
    </row>
    <row r="30" spans="1:13" x14ac:dyDescent="0.2">
      <c r="A30" s="31" t="s">
        <v>161</v>
      </c>
      <c r="B30" s="32" t="s">
        <v>28</v>
      </c>
      <c r="C30" s="32"/>
      <c r="D30" s="41">
        <v>0.84699999999999998</v>
      </c>
      <c r="E30" s="35">
        <v>34418</v>
      </c>
      <c r="F30" s="35">
        <v>47031</v>
      </c>
      <c r="G30" s="34">
        <f t="shared" si="0"/>
        <v>1.3664652216863269</v>
      </c>
      <c r="H30" s="35">
        <v>87227</v>
      </c>
      <c r="I30" s="36">
        <f t="shared" si="1"/>
        <v>1.8546703238289639E-4</v>
      </c>
      <c r="J30" s="37">
        <f t="shared" si="2"/>
        <v>6.3834043205545282E-2</v>
      </c>
      <c r="K30" s="38">
        <f t="shared" si="3"/>
        <v>3.4418000000000002</v>
      </c>
      <c r="L30" s="35">
        <f t="shared" si="4"/>
        <v>4703100</v>
      </c>
      <c r="M30" s="43">
        <f t="shared" si="5"/>
        <v>1.8546703238289639E-2</v>
      </c>
    </row>
    <row r="31" spans="1:13" x14ac:dyDescent="0.2">
      <c r="A31" s="31" t="s">
        <v>162</v>
      </c>
      <c r="B31" s="32" t="s">
        <v>28</v>
      </c>
      <c r="C31" s="32"/>
      <c r="D31" s="41">
        <v>0.47</v>
      </c>
      <c r="E31" s="35">
        <v>14817</v>
      </c>
      <c r="F31" s="35">
        <v>9233</v>
      </c>
      <c r="G31" s="34">
        <f t="shared" si="0"/>
        <v>0.62313558750084352</v>
      </c>
      <c r="H31" s="35">
        <v>15373</v>
      </c>
      <c r="I31" s="36">
        <f t="shared" si="1"/>
        <v>1.6650059568937506E-4</v>
      </c>
      <c r="J31" s="37">
        <f t="shared" si="2"/>
        <v>2.4670393263294708E-2</v>
      </c>
      <c r="K31" s="38">
        <f t="shared" si="3"/>
        <v>1.4817</v>
      </c>
      <c r="L31" s="35">
        <f t="shared" si="4"/>
        <v>923300</v>
      </c>
      <c r="M31" s="43">
        <f t="shared" si="5"/>
        <v>1.6650059568937507E-2</v>
      </c>
    </row>
    <row r="32" spans="1:13" x14ac:dyDescent="0.2">
      <c r="A32" s="31" t="s">
        <v>36</v>
      </c>
      <c r="B32" s="32" t="s">
        <v>34</v>
      </c>
      <c r="C32" s="40" t="s">
        <v>106</v>
      </c>
      <c r="D32" s="41">
        <v>0.69599999999999995</v>
      </c>
      <c r="E32" s="35">
        <v>36227</v>
      </c>
      <c r="F32" s="35">
        <v>1872375</v>
      </c>
      <c r="G32" s="34">
        <f t="shared" si="0"/>
        <v>51.684517072901428</v>
      </c>
      <c r="H32" s="35">
        <v>2972190</v>
      </c>
      <c r="I32" s="36">
        <f t="shared" si="1"/>
        <v>1.5873903464850791E-4</v>
      </c>
      <c r="J32" s="37">
        <f t="shared" si="2"/>
        <v>5.7506390082114958E-2</v>
      </c>
      <c r="K32" s="38">
        <f t="shared" si="3"/>
        <v>3.6227</v>
      </c>
      <c r="L32" s="35">
        <f t="shared" si="4"/>
        <v>187237500</v>
      </c>
      <c r="M32" s="43">
        <f t="shared" si="5"/>
        <v>1.5873903464850792E-2</v>
      </c>
    </row>
    <row r="33" spans="1:13" x14ac:dyDescent="0.2">
      <c r="A33" s="31" t="s">
        <v>111</v>
      </c>
      <c r="B33" s="32" t="s">
        <v>14</v>
      </c>
      <c r="C33" s="32"/>
      <c r="D33" s="41">
        <v>0.80100000000000005</v>
      </c>
      <c r="E33" s="35">
        <v>48986</v>
      </c>
      <c r="F33" s="35">
        <v>3366316</v>
      </c>
      <c r="G33" s="34">
        <f t="shared" si="0"/>
        <v>68.719960805127997</v>
      </c>
      <c r="H33" s="35">
        <v>5291505</v>
      </c>
      <c r="I33" s="36">
        <f t="shared" si="1"/>
        <v>1.5718978848093881E-4</v>
      </c>
      <c r="J33" s="37">
        <f t="shared" si="2"/>
        <v>7.7000989785272686E-2</v>
      </c>
      <c r="K33" s="38">
        <f t="shared" si="3"/>
        <v>4.8986000000000001</v>
      </c>
      <c r="L33" s="35">
        <f t="shared" si="4"/>
        <v>336631600</v>
      </c>
      <c r="M33" s="43">
        <f t="shared" si="5"/>
        <v>1.5718978848093881E-2</v>
      </c>
    </row>
    <row r="34" spans="1:13" x14ac:dyDescent="0.2">
      <c r="A34" s="31" t="s">
        <v>31</v>
      </c>
      <c r="B34" s="32" t="s">
        <v>14</v>
      </c>
      <c r="C34" s="40" t="s">
        <v>106</v>
      </c>
      <c r="D34" s="41">
        <v>0.75900000000000001</v>
      </c>
      <c r="E34" s="35">
        <v>32082</v>
      </c>
      <c r="F34" s="35">
        <v>346640</v>
      </c>
      <c r="G34" s="34">
        <f t="shared" si="0"/>
        <v>10.80481266753943</v>
      </c>
      <c r="H34" s="35">
        <v>445444</v>
      </c>
      <c r="I34" s="36">
        <f t="shared" si="1"/>
        <v>1.2850334641126241E-4</v>
      </c>
      <c r="J34" s="37">
        <f t="shared" si="2"/>
        <v>4.1226443595661202E-2</v>
      </c>
      <c r="K34" s="38">
        <f t="shared" si="3"/>
        <v>3.2082000000000002</v>
      </c>
      <c r="L34" s="35">
        <f t="shared" si="4"/>
        <v>34664000</v>
      </c>
      <c r="M34" s="43">
        <f t="shared" si="5"/>
        <v>1.285033464112624E-2</v>
      </c>
    </row>
    <row r="35" spans="1:13" x14ac:dyDescent="0.2">
      <c r="A35" s="31" t="s">
        <v>23</v>
      </c>
      <c r="B35" s="32" t="s">
        <v>14</v>
      </c>
      <c r="C35" s="40" t="s">
        <v>106</v>
      </c>
      <c r="D35" s="41">
        <v>0.79300000000000004</v>
      </c>
      <c r="E35" s="35">
        <v>65130</v>
      </c>
      <c r="F35" s="35">
        <v>1798519</v>
      </c>
      <c r="G35" s="34">
        <f t="shared" si="0"/>
        <v>27.614294487947181</v>
      </c>
      <c r="H35" s="35">
        <v>2253579</v>
      </c>
      <c r="I35" s="36">
        <f t="shared" si="1"/>
        <v>1.2530192897600747E-4</v>
      </c>
      <c r="J35" s="37">
        <f t="shared" si="2"/>
        <v>8.1609146342073682E-2</v>
      </c>
      <c r="K35" s="38">
        <f t="shared" si="3"/>
        <v>6.5129999999999999</v>
      </c>
      <c r="L35" s="35">
        <f t="shared" si="4"/>
        <v>179851900</v>
      </c>
      <c r="M35" s="43">
        <f t="shared" si="5"/>
        <v>1.2530192897600746E-2</v>
      </c>
    </row>
    <row r="36" spans="1:13" x14ac:dyDescent="0.2">
      <c r="A36" s="31" t="s">
        <v>35</v>
      </c>
      <c r="B36" s="32" t="s">
        <v>14</v>
      </c>
      <c r="C36" s="40" t="s">
        <v>106</v>
      </c>
      <c r="D36" s="41">
        <v>0.71899999999999997</v>
      </c>
      <c r="E36" s="35">
        <v>43309</v>
      </c>
      <c r="F36" s="35">
        <v>2551557</v>
      </c>
      <c r="G36" s="34">
        <f t="shared" si="0"/>
        <v>58.915167748043132</v>
      </c>
      <c r="H36" s="35">
        <v>3181355</v>
      </c>
      <c r="I36" s="36">
        <f t="shared" si="1"/>
        <v>1.2468288970224846E-4</v>
      </c>
      <c r="J36" s="37">
        <f t="shared" si="2"/>
        <v>5.399891270114679E-2</v>
      </c>
      <c r="K36" s="38">
        <f t="shared" si="3"/>
        <v>4.3309000000000006</v>
      </c>
      <c r="L36" s="35">
        <f t="shared" si="4"/>
        <v>255155700</v>
      </c>
      <c r="M36" s="43">
        <f t="shared" si="5"/>
        <v>1.2468288970224846E-2</v>
      </c>
    </row>
    <row r="37" spans="1:13" x14ac:dyDescent="0.2">
      <c r="A37" s="31" t="s">
        <v>163</v>
      </c>
      <c r="B37" s="32" t="s">
        <v>14</v>
      </c>
      <c r="C37" s="32"/>
      <c r="D37" s="32" t="s">
        <v>156</v>
      </c>
      <c r="E37" s="33">
        <v>59871</v>
      </c>
      <c r="F37" s="33">
        <v>2027</v>
      </c>
      <c r="G37" s="34">
        <f t="shared" si="0"/>
        <v>3.3856123999933187E-2</v>
      </c>
      <c r="H37" s="35">
        <v>2169</v>
      </c>
      <c r="I37" s="36">
        <f t="shared" si="1"/>
        <v>1.0700542673902318E-4</v>
      </c>
      <c r="J37" s="37">
        <f t="shared" si="2"/>
        <v>6.4065219042920576E-2</v>
      </c>
      <c r="K37" s="38">
        <f t="shared" si="3"/>
        <v>5.9870999999999999</v>
      </c>
      <c r="L37" s="35">
        <f t="shared" si="4"/>
        <v>202700</v>
      </c>
      <c r="M37" s="43">
        <f t="shared" si="5"/>
        <v>1.0700542673902318E-2</v>
      </c>
    </row>
    <row r="38" spans="1:13" x14ac:dyDescent="0.2">
      <c r="A38" s="31" t="s">
        <v>164</v>
      </c>
      <c r="B38" s="32" t="s">
        <v>28</v>
      </c>
      <c r="C38" s="32"/>
      <c r="D38" s="41">
        <v>0.75</v>
      </c>
      <c r="E38" s="35">
        <v>26312</v>
      </c>
      <c r="F38" s="35">
        <v>48619</v>
      </c>
      <c r="G38" s="34">
        <f t="shared" ref="G38:G69" si="6">F38*1000000/E38/1000000</f>
        <v>1.8477880814837335</v>
      </c>
      <c r="H38" s="35">
        <v>47858</v>
      </c>
      <c r="I38" s="36">
        <f t="shared" ref="I38:I69" si="7">H38/(F38*1000000)*100</f>
        <v>9.8434768300458654E-5</v>
      </c>
      <c r="J38" s="37">
        <f t="shared" ref="J38:J69" si="8">H38/(G38*1000000)</f>
        <v>2.5900156235216687E-2</v>
      </c>
      <c r="K38" s="38">
        <f t="shared" ref="K38:K69" si="9">E38*0.0001</f>
        <v>2.6312000000000002</v>
      </c>
      <c r="L38" s="35">
        <f t="shared" ref="L38:L69" si="10">F38*1000000*0.0001</f>
        <v>4861900</v>
      </c>
      <c r="M38" s="43">
        <f t="shared" ref="M38:M69" si="11">I38/0.01</f>
        <v>9.8434768300458657E-3</v>
      </c>
    </row>
    <row r="39" spans="1:13" x14ac:dyDescent="0.2">
      <c r="A39" s="31" t="s">
        <v>165</v>
      </c>
      <c r="B39" s="32" t="s">
        <v>14</v>
      </c>
      <c r="C39" s="32"/>
      <c r="D39" s="41">
        <v>0.61699999999999999</v>
      </c>
      <c r="E39" s="35">
        <v>47907</v>
      </c>
      <c r="F39" s="35">
        <v>27772</v>
      </c>
      <c r="G39" s="34">
        <f t="shared" si="6"/>
        <v>0.57970651470557544</v>
      </c>
      <c r="H39" s="35">
        <v>23881</v>
      </c>
      <c r="I39" s="36">
        <f t="shared" si="7"/>
        <v>8.5989485813049111E-5</v>
      </c>
      <c r="J39" s="37">
        <f t="shared" si="8"/>
        <v>4.1194982968457437E-2</v>
      </c>
      <c r="K39" s="38">
        <f t="shared" si="9"/>
        <v>4.7907000000000002</v>
      </c>
      <c r="L39" s="35">
        <f t="shared" si="10"/>
        <v>2777200</v>
      </c>
      <c r="M39" s="43">
        <f t="shared" si="11"/>
        <v>8.5989485813049108E-3</v>
      </c>
    </row>
    <row r="40" spans="1:13" x14ac:dyDescent="0.2">
      <c r="A40" s="31" t="s">
        <v>105</v>
      </c>
      <c r="B40" s="32" t="s">
        <v>14</v>
      </c>
      <c r="C40" s="32"/>
      <c r="D40" s="41">
        <v>0.72699999999999998</v>
      </c>
      <c r="E40" s="35">
        <v>90027</v>
      </c>
      <c r="F40" s="35">
        <v>30769700</v>
      </c>
      <c r="G40" s="34">
        <f t="shared" si="6"/>
        <v>341.78302064936076</v>
      </c>
      <c r="H40" s="35">
        <v>24686368</v>
      </c>
      <c r="I40" s="36">
        <f t="shared" si="7"/>
        <v>8.0229472500544367E-5</v>
      </c>
      <c r="J40" s="37">
        <f t="shared" si="8"/>
        <v>7.2228187208065064E-2</v>
      </c>
      <c r="K40" s="38">
        <f t="shared" si="9"/>
        <v>9.0027000000000008</v>
      </c>
      <c r="L40" s="35">
        <f t="shared" si="10"/>
        <v>3076970000</v>
      </c>
      <c r="M40" s="43">
        <f t="shared" si="11"/>
        <v>8.0229472500544362E-3</v>
      </c>
    </row>
    <row r="41" spans="1:13" x14ac:dyDescent="0.2">
      <c r="A41" s="31" t="s">
        <v>42</v>
      </c>
      <c r="B41" s="32" t="s">
        <v>14</v>
      </c>
      <c r="C41" s="40" t="s">
        <v>106</v>
      </c>
      <c r="D41" s="41">
        <v>0.58899999999999997</v>
      </c>
      <c r="E41" s="35">
        <v>26948</v>
      </c>
      <c r="F41" s="35">
        <v>280636</v>
      </c>
      <c r="G41" s="34">
        <f t="shared" si="6"/>
        <v>10.413982484785512</v>
      </c>
      <c r="H41" s="35">
        <v>218162</v>
      </c>
      <c r="I41" s="36">
        <f t="shared" si="7"/>
        <v>7.7738422725523456E-5</v>
      </c>
      <c r="J41" s="37">
        <f t="shared" si="8"/>
        <v>2.0948950156074061E-2</v>
      </c>
      <c r="K41" s="38">
        <f t="shared" si="9"/>
        <v>2.6948000000000003</v>
      </c>
      <c r="L41" s="35">
        <f t="shared" si="10"/>
        <v>28063600</v>
      </c>
      <c r="M41" s="43">
        <f t="shared" si="11"/>
        <v>7.7738422725523457E-3</v>
      </c>
    </row>
    <row r="42" spans="1:13" x14ac:dyDescent="0.2">
      <c r="A42" s="31" t="s">
        <v>67</v>
      </c>
      <c r="B42" s="32" t="s">
        <v>34</v>
      </c>
      <c r="C42" s="40" t="s">
        <v>106</v>
      </c>
      <c r="D42" s="41">
        <v>0.08</v>
      </c>
      <c r="E42" s="33">
        <v>50274</v>
      </c>
      <c r="F42" s="33">
        <v>552325</v>
      </c>
      <c r="G42" s="34">
        <f t="shared" si="6"/>
        <v>10.986295102836456</v>
      </c>
      <c r="H42" s="35">
        <v>423268</v>
      </c>
      <c r="I42" s="36">
        <f t="shared" si="7"/>
        <v>7.6633865930385186E-5</v>
      </c>
      <c r="J42" s="37">
        <f t="shared" si="8"/>
        <v>3.852690975784185E-2</v>
      </c>
      <c r="K42" s="38">
        <f t="shared" si="9"/>
        <v>5.0274000000000001</v>
      </c>
      <c r="L42" s="35">
        <f t="shared" si="10"/>
        <v>55232500</v>
      </c>
      <c r="M42" s="43">
        <f t="shared" si="11"/>
        <v>7.6633865930385188E-3</v>
      </c>
    </row>
    <row r="43" spans="1:13" x14ac:dyDescent="0.2">
      <c r="A43" s="31" t="s">
        <v>166</v>
      </c>
      <c r="B43" s="32" t="s">
        <v>28</v>
      </c>
      <c r="C43" s="32"/>
      <c r="D43" s="41">
        <v>0.72699999999999998</v>
      </c>
      <c r="E43" s="35">
        <v>32959</v>
      </c>
      <c r="F43" s="35">
        <v>95210</v>
      </c>
      <c r="G43" s="34">
        <f t="shared" si="6"/>
        <v>2.8887405564489215</v>
      </c>
      <c r="H43" s="35">
        <v>51313</v>
      </c>
      <c r="I43" s="36">
        <f t="shared" si="7"/>
        <v>5.3894548891923113E-5</v>
      </c>
      <c r="J43" s="37">
        <f t="shared" si="8"/>
        <v>1.7763104369288938E-2</v>
      </c>
      <c r="K43" s="38">
        <f t="shared" si="9"/>
        <v>3.2959000000000001</v>
      </c>
      <c r="L43" s="35">
        <f t="shared" si="10"/>
        <v>9521000</v>
      </c>
      <c r="M43" s="43">
        <f t="shared" si="11"/>
        <v>5.389454889192311E-3</v>
      </c>
    </row>
    <row r="44" spans="1:13" x14ac:dyDescent="0.2">
      <c r="A44" s="31" t="s">
        <v>167</v>
      </c>
      <c r="B44" s="32" t="s">
        <v>28</v>
      </c>
      <c r="C44" s="32"/>
      <c r="D44" s="41">
        <v>0.437</v>
      </c>
      <c r="E44" s="35">
        <v>9474</v>
      </c>
      <c r="F44" s="35">
        <v>29243</v>
      </c>
      <c r="G44" s="34">
        <f t="shared" si="6"/>
        <v>3.086658222503694</v>
      </c>
      <c r="H44" s="35">
        <v>14400</v>
      </c>
      <c r="I44" s="36">
        <f t="shared" si="7"/>
        <v>4.9242553773552649E-5</v>
      </c>
      <c r="J44" s="37">
        <f t="shared" si="8"/>
        <v>4.6652395445063773E-3</v>
      </c>
      <c r="K44" s="38">
        <f t="shared" si="9"/>
        <v>0.94740000000000002</v>
      </c>
      <c r="L44" s="35">
        <f t="shared" si="10"/>
        <v>2924300</v>
      </c>
      <c r="M44" s="43">
        <f t="shared" si="11"/>
        <v>4.9242553773552649E-3</v>
      </c>
    </row>
    <row r="45" spans="1:13" x14ac:dyDescent="0.2">
      <c r="A45" s="31" t="s">
        <v>46</v>
      </c>
      <c r="B45" s="32" t="s">
        <v>28</v>
      </c>
      <c r="C45" s="40" t="s">
        <v>106</v>
      </c>
      <c r="D45" s="41">
        <v>0.51100000000000001</v>
      </c>
      <c r="E45" s="35">
        <v>28420</v>
      </c>
      <c r="F45" s="35">
        <v>1035492</v>
      </c>
      <c r="G45" s="34">
        <f t="shared" si="6"/>
        <v>36.435327234342019</v>
      </c>
      <c r="H45" s="35">
        <v>504088</v>
      </c>
      <c r="I45" s="36">
        <f t="shared" si="7"/>
        <v>4.8681013469925401E-5</v>
      </c>
      <c r="J45" s="37">
        <f t="shared" si="8"/>
        <v>1.38351440281528E-2</v>
      </c>
      <c r="K45" s="38">
        <f t="shared" si="9"/>
        <v>2.8420000000000001</v>
      </c>
      <c r="L45" s="35">
        <f t="shared" si="10"/>
        <v>103549200</v>
      </c>
      <c r="M45" s="43">
        <f t="shared" si="11"/>
        <v>4.8681013469925403E-3</v>
      </c>
    </row>
    <row r="46" spans="1:13" x14ac:dyDescent="0.2">
      <c r="A46" s="31" t="s">
        <v>168</v>
      </c>
      <c r="B46" s="32" t="s">
        <v>28</v>
      </c>
      <c r="C46" s="32"/>
      <c r="D46" s="41">
        <v>0.64600000000000002</v>
      </c>
      <c r="E46" s="35">
        <v>37376</v>
      </c>
      <c r="F46" s="35">
        <v>79648</v>
      </c>
      <c r="G46" s="34">
        <f t="shared" si="6"/>
        <v>2.1309931506849313</v>
      </c>
      <c r="H46" s="35">
        <v>37627</v>
      </c>
      <c r="I46" s="36">
        <f t="shared" si="7"/>
        <v>4.7241613097629574E-5</v>
      </c>
      <c r="J46" s="37">
        <f t="shared" si="8"/>
        <v>1.765702531137003E-2</v>
      </c>
      <c r="K46" s="38">
        <f t="shared" si="9"/>
        <v>3.7376</v>
      </c>
      <c r="L46" s="35">
        <f t="shared" si="10"/>
        <v>7964800</v>
      </c>
      <c r="M46" s="43">
        <f t="shared" si="11"/>
        <v>4.7241613097629576E-3</v>
      </c>
    </row>
    <row r="47" spans="1:13" x14ac:dyDescent="0.2">
      <c r="A47" s="31" t="s">
        <v>27</v>
      </c>
      <c r="B47" s="32" t="s">
        <v>28</v>
      </c>
      <c r="C47" s="40" t="s">
        <v>106</v>
      </c>
      <c r="D47" s="41">
        <v>0.77700000000000002</v>
      </c>
      <c r="E47" s="35">
        <v>35917</v>
      </c>
      <c r="F47" s="35">
        <v>391027</v>
      </c>
      <c r="G47" s="34">
        <f t="shared" si="6"/>
        <v>10.886961605924769</v>
      </c>
      <c r="H47" s="35">
        <v>163898</v>
      </c>
      <c r="I47" s="36">
        <f t="shared" si="7"/>
        <v>4.1914752689711962E-5</v>
      </c>
      <c r="J47" s="37">
        <f t="shared" si="8"/>
        <v>1.5054521723563847E-2</v>
      </c>
      <c r="K47" s="38">
        <f t="shared" si="9"/>
        <v>3.5917000000000003</v>
      </c>
      <c r="L47" s="35">
        <f t="shared" si="10"/>
        <v>39102700</v>
      </c>
      <c r="M47" s="43">
        <f t="shared" si="11"/>
        <v>4.1914752689711961E-3</v>
      </c>
    </row>
    <row r="48" spans="1:13" x14ac:dyDescent="0.2">
      <c r="A48" s="31" t="s">
        <v>169</v>
      </c>
      <c r="B48" s="32" t="s">
        <v>40</v>
      </c>
      <c r="C48" s="32"/>
      <c r="D48" s="41">
        <v>0.23699999999999999</v>
      </c>
      <c r="E48" s="35">
        <v>3050</v>
      </c>
      <c r="F48" s="35">
        <v>99774</v>
      </c>
      <c r="G48" s="34">
        <f t="shared" si="6"/>
        <v>32.712786885245897</v>
      </c>
      <c r="H48" s="35">
        <v>39851</v>
      </c>
      <c r="I48" s="36">
        <f t="shared" si="7"/>
        <v>3.9941267264016673E-5</v>
      </c>
      <c r="J48" s="37">
        <f t="shared" si="8"/>
        <v>1.2182086515525089E-3</v>
      </c>
      <c r="K48" s="38">
        <f t="shared" si="9"/>
        <v>0.30499999999999999</v>
      </c>
      <c r="L48" s="35">
        <f t="shared" si="10"/>
        <v>9977400</v>
      </c>
      <c r="M48" s="43">
        <f t="shared" si="11"/>
        <v>3.9941267264016669E-3</v>
      </c>
    </row>
    <row r="49" spans="1:13" x14ac:dyDescent="0.2">
      <c r="A49" s="31" t="s">
        <v>170</v>
      </c>
      <c r="B49" s="32" t="s">
        <v>28</v>
      </c>
      <c r="C49" s="32"/>
      <c r="D49" s="41">
        <v>5.8999999999999997E-2</v>
      </c>
      <c r="E49" s="35">
        <v>7411</v>
      </c>
      <c r="F49" s="35">
        <v>75938</v>
      </c>
      <c r="G49" s="34">
        <f t="shared" si="6"/>
        <v>10.246660369720686</v>
      </c>
      <c r="H49" s="35">
        <v>28800</v>
      </c>
      <c r="I49" s="36">
        <f t="shared" si="7"/>
        <v>3.7925676209539359E-5</v>
      </c>
      <c r="J49" s="37">
        <f t="shared" si="8"/>
        <v>2.8106718638889619E-3</v>
      </c>
      <c r="K49" s="38">
        <f t="shared" si="9"/>
        <v>0.74109999999999998</v>
      </c>
      <c r="L49" s="35">
        <f t="shared" si="10"/>
        <v>7593800</v>
      </c>
      <c r="M49" s="43">
        <f t="shared" si="11"/>
        <v>3.792567620953936E-3</v>
      </c>
    </row>
    <row r="50" spans="1:13" x14ac:dyDescent="0.2">
      <c r="A50" s="31" t="s">
        <v>171</v>
      </c>
      <c r="B50" s="32" t="s">
        <v>26</v>
      </c>
      <c r="C50" s="32"/>
      <c r="D50" s="41">
        <v>0.77</v>
      </c>
      <c r="E50" s="35">
        <v>25216</v>
      </c>
      <c r="F50" s="35">
        <v>85348</v>
      </c>
      <c r="G50" s="34">
        <f t="shared" si="6"/>
        <v>3.3846763959390862</v>
      </c>
      <c r="H50" s="35">
        <v>30000</v>
      </c>
      <c r="I50" s="36">
        <f t="shared" si="7"/>
        <v>3.5150208557904108E-5</v>
      </c>
      <c r="J50" s="37">
        <f t="shared" si="8"/>
        <v>8.8634765899611011E-3</v>
      </c>
      <c r="K50" s="38">
        <f t="shared" si="9"/>
        <v>2.5216000000000003</v>
      </c>
      <c r="L50" s="35">
        <f t="shared" si="10"/>
        <v>8534800</v>
      </c>
      <c r="M50" s="43">
        <f t="shared" si="11"/>
        <v>3.515020855790411E-3</v>
      </c>
    </row>
    <row r="51" spans="1:13" x14ac:dyDescent="0.2">
      <c r="A51" s="31" t="s">
        <v>60</v>
      </c>
      <c r="B51" s="32" t="s">
        <v>40</v>
      </c>
      <c r="C51" s="40" t="s">
        <v>106</v>
      </c>
      <c r="D51" s="41">
        <v>0.127</v>
      </c>
      <c r="E51" s="35">
        <v>6051</v>
      </c>
      <c r="F51" s="35">
        <v>287031</v>
      </c>
      <c r="G51" s="34">
        <f t="shared" si="6"/>
        <v>47.435299950421417</v>
      </c>
      <c r="H51" s="35">
        <v>100000</v>
      </c>
      <c r="I51" s="36">
        <f t="shared" si="7"/>
        <v>3.4839442429563359E-5</v>
      </c>
      <c r="J51" s="37">
        <f t="shared" si="8"/>
        <v>2.1081346614128787E-3</v>
      </c>
      <c r="K51" s="38">
        <f t="shared" si="9"/>
        <v>0.60510000000000008</v>
      </c>
      <c r="L51" s="35">
        <f t="shared" si="10"/>
        <v>28703100</v>
      </c>
      <c r="M51" s="43">
        <f t="shared" si="11"/>
        <v>3.4839442429563357E-3</v>
      </c>
    </row>
    <row r="52" spans="1:13" x14ac:dyDescent="0.2">
      <c r="A52" s="31" t="s">
        <v>172</v>
      </c>
      <c r="B52" s="32" t="s">
        <v>28</v>
      </c>
      <c r="C52" s="32"/>
      <c r="D52" s="41">
        <v>0.39500000000000002</v>
      </c>
      <c r="E52" s="35">
        <v>9692</v>
      </c>
      <c r="F52" s="35">
        <v>38144</v>
      </c>
      <c r="G52" s="34">
        <f t="shared" si="6"/>
        <v>3.9356170037144036</v>
      </c>
      <c r="H52" s="35">
        <v>12200</v>
      </c>
      <c r="I52" s="36">
        <f t="shared" si="7"/>
        <v>3.1984060402684567E-5</v>
      </c>
      <c r="J52" s="37">
        <f t="shared" si="8"/>
        <v>3.0998951342281881E-3</v>
      </c>
      <c r="K52" s="38">
        <f t="shared" si="9"/>
        <v>0.96920000000000006</v>
      </c>
      <c r="L52" s="35">
        <f t="shared" si="10"/>
        <v>3814400</v>
      </c>
      <c r="M52" s="43">
        <f t="shared" si="11"/>
        <v>3.1984060402684565E-3</v>
      </c>
    </row>
    <row r="53" spans="1:13" x14ac:dyDescent="0.2">
      <c r="A53" s="31" t="s">
        <v>37</v>
      </c>
      <c r="B53" s="32" t="s">
        <v>28</v>
      </c>
      <c r="C53" s="40" t="s">
        <v>106</v>
      </c>
      <c r="D53" s="41">
        <v>0.68100000000000005</v>
      </c>
      <c r="E53" s="35">
        <v>28544</v>
      </c>
      <c r="F53" s="35">
        <v>154530</v>
      </c>
      <c r="G53" s="34">
        <f t="shared" si="6"/>
        <v>5.4137471973094167</v>
      </c>
      <c r="H53" s="35">
        <v>42438</v>
      </c>
      <c r="I53" s="36">
        <f t="shared" si="7"/>
        <v>2.7462628615802758E-5</v>
      </c>
      <c r="J53" s="37">
        <f t="shared" si="8"/>
        <v>7.8389327120947389E-3</v>
      </c>
      <c r="K53" s="38">
        <f t="shared" si="9"/>
        <v>2.8544</v>
      </c>
      <c r="L53" s="35">
        <f t="shared" si="10"/>
        <v>15453000</v>
      </c>
      <c r="M53" s="43">
        <f t="shared" si="11"/>
        <v>2.7462628615802756E-3</v>
      </c>
    </row>
    <row r="54" spans="1:13" x14ac:dyDescent="0.2">
      <c r="A54" s="31" t="s">
        <v>115</v>
      </c>
      <c r="B54" s="32" t="s">
        <v>34</v>
      </c>
      <c r="C54" s="32"/>
      <c r="D54" s="41">
        <v>7.8E-2</v>
      </c>
      <c r="E54" s="35">
        <v>3968</v>
      </c>
      <c r="F54" s="35">
        <v>147038</v>
      </c>
      <c r="G54" s="34">
        <f t="shared" si="6"/>
        <v>37.05594758064516</v>
      </c>
      <c r="H54" s="35">
        <v>40000</v>
      </c>
      <c r="I54" s="36">
        <f t="shared" si="7"/>
        <v>2.7203852065452466E-5</v>
      </c>
      <c r="J54" s="37">
        <f t="shared" si="8"/>
        <v>1.0794488499571539E-3</v>
      </c>
      <c r="K54" s="38">
        <f t="shared" si="9"/>
        <v>0.39680000000000004</v>
      </c>
      <c r="L54" s="35">
        <f t="shared" si="10"/>
        <v>14703800</v>
      </c>
      <c r="M54" s="43">
        <f t="shared" si="11"/>
        <v>2.7203852065452467E-3</v>
      </c>
    </row>
    <row r="55" spans="1:13" x14ac:dyDescent="0.2">
      <c r="A55" s="31" t="s">
        <v>59</v>
      </c>
      <c r="B55" s="32" t="s">
        <v>34</v>
      </c>
      <c r="C55" s="40" t="s">
        <v>106</v>
      </c>
      <c r="D55" s="41">
        <v>0.13200000000000001</v>
      </c>
      <c r="E55" s="35">
        <v>14692</v>
      </c>
      <c r="F55" s="35">
        <v>306239</v>
      </c>
      <c r="G55" s="34">
        <f t="shared" si="6"/>
        <v>20.843928668663217</v>
      </c>
      <c r="H55" s="35">
        <v>83000</v>
      </c>
      <c r="I55" s="36">
        <f t="shared" si="7"/>
        <v>2.7103014312350809E-5</v>
      </c>
      <c r="J55" s="37">
        <f t="shared" si="8"/>
        <v>3.9819748627705808E-3</v>
      </c>
      <c r="K55" s="38">
        <f t="shared" si="9"/>
        <v>1.4692000000000001</v>
      </c>
      <c r="L55" s="35">
        <f t="shared" si="10"/>
        <v>30623900</v>
      </c>
      <c r="M55" s="43">
        <f t="shared" si="11"/>
        <v>2.7103014312350807E-3</v>
      </c>
    </row>
    <row r="56" spans="1:13" x14ac:dyDescent="0.2">
      <c r="A56" s="31" t="s">
        <v>53</v>
      </c>
      <c r="B56" s="32" t="s">
        <v>34</v>
      </c>
      <c r="C56" s="40" t="s">
        <v>106</v>
      </c>
      <c r="D56" s="41">
        <v>0.28599999999999998</v>
      </c>
      <c r="E56" s="35">
        <v>4171</v>
      </c>
      <c r="F56" s="35">
        <v>487086</v>
      </c>
      <c r="G56" s="34">
        <f t="shared" si="6"/>
        <v>116.77918964277151</v>
      </c>
      <c r="H56" s="35">
        <v>130000</v>
      </c>
      <c r="I56" s="36">
        <f t="shared" si="7"/>
        <v>2.6689332068669598E-5</v>
      </c>
      <c r="J56" s="37">
        <f t="shared" si="8"/>
        <v>1.1132120405842091E-3</v>
      </c>
      <c r="K56" s="38">
        <f t="shared" si="9"/>
        <v>0.41710000000000003</v>
      </c>
      <c r="L56" s="35">
        <f t="shared" si="10"/>
        <v>48708600</v>
      </c>
      <c r="M56" s="43">
        <f t="shared" si="11"/>
        <v>2.6689332068669598E-3</v>
      </c>
    </row>
    <row r="57" spans="1:13" x14ac:dyDescent="0.2">
      <c r="A57" s="31" t="s">
        <v>173</v>
      </c>
      <c r="B57" s="32" t="s">
        <v>28</v>
      </c>
      <c r="C57" s="32"/>
      <c r="D57" s="41">
        <v>0.40799999999999997</v>
      </c>
      <c r="E57" s="35">
        <v>12998</v>
      </c>
      <c r="F57" s="35">
        <v>30540</v>
      </c>
      <c r="G57" s="34">
        <f t="shared" si="6"/>
        <v>2.3495922449607631</v>
      </c>
      <c r="H57" s="35">
        <v>7837</v>
      </c>
      <c r="I57" s="36">
        <f t="shared" si="7"/>
        <v>2.5661427635887358E-5</v>
      </c>
      <c r="J57" s="37">
        <f t="shared" si="8"/>
        <v>3.3354723641126393E-3</v>
      </c>
      <c r="K57" s="38">
        <f t="shared" si="9"/>
        <v>1.2998000000000001</v>
      </c>
      <c r="L57" s="35">
        <f t="shared" si="10"/>
        <v>3054000</v>
      </c>
      <c r="M57" s="43">
        <f t="shared" si="11"/>
        <v>2.5661427635887356E-3</v>
      </c>
    </row>
    <row r="58" spans="1:13" x14ac:dyDescent="0.2">
      <c r="A58" s="31" t="s">
        <v>174</v>
      </c>
      <c r="B58" s="32" t="s">
        <v>40</v>
      </c>
      <c r="C58" s="32"/>
      <c r="D58" s="41">
        <v>0.432</v>
      </c>
      <c r="E58" s="35">
        <v>12991</v>
      </c>
      <c r="F58" s="35">
        <v>16158</v>
      </c>
      <c r="G58" s="34">
        <f t="shared" si="6"/>
        <v>1.2437841582634133</v>
      </c>
      <c r="H58" s="35">
        <v>3292</v>
      </c>
      <c r="I58" s="36">
        <f t="shared" si="7"/>
        <v>2.0373808639683131E-5</v>
      </c>
      <c r="J58" s="37">
        <f t="shared" si="8"/>
        <v>2.6467614803812349E-3</v>
      </c>
      <c r="K58" s="38">
        <f t="shared" si="9"/>
        <v>1.2991000000000001</v>
      </c>
      <c r="L58" s="35">
        <f t="shared" si="10"/>
        <v>1615800</v>
      </c>
      <c r="M58" s="43">
        <f t="shared" si="11"/>
        <v>2.0373808639683132E-3</v>
      </c>
    </row>
    <row r="59" spans="1:13" x14ac:dyDescent="0.2">
      <c r="A59" s="31" t="s">
        <v>33</v>
      </c>
      <c r="B59" s="32" t="s">
        <v>34</v>
      </c>
      <c r="C59" s="40" t="s">
        <v>106</v>
      </c>
      <c r="D59" s="41">
        <v>0.73799999999999999</v>
      </c>
      <c r="E59" s="35">
        <v>35951</v>
      </c>
      <c r="F59" s="35">
        <v>4435163</v>
      </c>
      <c r="G59" s="34">
        <f t="shared" si="6"/>
        <v>123.36688826458236</v>
      </c>
      <c r="H59" s="35">
        <v>826042</v>
      </c>
      <c r="I59" s="36">
        <f t="shared" si="7"/>
        <v>1.8624839718404938E-5</v>
      </c>
      <c r="J59" s="37">
        <f t="shared" si="8"/>
        <v>6.695816127163759E-3</v>
      </c>
      <c r="K59" s="38">
        <f t="shared" si="9"/>
        <v>3.5951</v>
      </c>
      <c r="L59" s="35">
        <f t="shared" si="10"/>
        <v>443516300</v>
      </c>
      <c r="M59" s="43">
        <f t="shared" si="11"/>
        <v>1.8624839718404938E-3</v>
      </c>
    </row>
    <row r="60" spans="1:13" x14ac:dyDescent="0.2">
      <c r="A60" s="31" t="s">
        <v>117</v>
      </c>
      <c r="B60" s="32" t="s">
        <v>28</v>
      </c>
      <c r="C60" s="32"/>
      <c r="D60" s="41">
        <v>0.55300000000000005</v>
      </c>
      <c r="E60" s="35">
        <v>20328</v>
      </c>
      <c r="F60" s="35">
        <v>130777</v>
      </c>
      <c r="G60" s="34">
        <f t="shared" si="6"/>
        <v>6.4333431719795353</v>
      </c>
      <c r="H60" s="35">
        <v>23280</v>
      </c>
      <c r="I60" s="36">
        <f t="shared" si="7"/>
        <v>1.7801295334806579E-5</v>
      </c>
      <c r="J60" s="37">
        <f t="shared" si="8"/>
        <v>3.6186473156594816E-3</v>
      </c>
      <c r="K60" s="38">
        <f t="shared" si="9"/>
        <v>2.0327999999999999</v>
      </c>
      <c r="L60" s="35">
        <f t="shared" si="10"/>
        <v>13077700</v>
      </c>
      <c r="M60" s="43">
        <f t="shared" si="11"/>
        <v>1.780129533480658E-3</v>
      </c>
    </row>
    <row r="61" spans="1:13" x14ac:dyDescent="0.2">
      <c r="A61" s="31" t="s">
        <v>112</v>
      </c>
      <c r="B61" s="32" t="s">
        <v>28</v>
      </c>
      <c r="C61" s="32"/>
      <c r="D61" s="41">
        <v>6.8000000000000005E-2</v>
      </c>
      <c r="E61" s="35">
        <v>17547</v>
      </c>
      <c r="F61" s="35">
        <v>2561310</v>
      </c>
      <c r="G61" s="34">
        <f t="shared" si="6"/>
        <v>145.96854163104805</v>
      </c>
      <c r="H61" s="35">
        <v>400000</v>
      </c>
      <c r="I61" s="36">
        <f t="shared" si="7"/>
        <v>1.5617008483939859E-5</v>
      </c>
      <c r="J61" s="37">
        <f t="shared" si="8"/>
        <v>2.7403164786769267E-3</v>
      </c>
      <c r="K61" s="38">
        <f t="shared" si="9"/>
        <v>1.7547000000000001</v>
      </c>
      <c r="L61" s="35">
        <f t="shared" si="10"/>
        <v>256131000</v>
      </c>
      <c r="M61" s="43">
        <f t="shared" si="11"/>
        <v>1.5617008483939858E-3</v>
      </c>
    </row>
    <row r="62" spans="1:13" x14ac:dyDescent="0.2">
      <c r="A62" s="31" t="s">
        <v>107</v>
      </c>
      <c r="B62" s="32" t="s">
        <v>34</v>
      </c>
      <c r="C62" s="32"/>
      <c r="D62" s="41">
        <v>0.04</v>
      </c>
      <c r="E62" s="35">
        <v>13862</v>
      </c>
      <c r="F62" s="35">
        <v>19498039</v>
      </c>
      <c r="G62" s="34">
        <f t="shared" si="6"/>
        <v>1406.581950656471</v>
      </c>
      <c r="H62" s="35">
        <v>2900000</v>
      </c>
      <c r="I62" s="36">
        <f t="shared" si="7"/>
        <v>1.4873290590915322E-5</v>
      </c>
      <c r="J62" s="37">
        <f t="shared" si="8"/>
        <v>2.061735541712682E-3</v>
      </c>
      <c r="K62" s="38">
        <f t="shared" si="9"/>
        <v>1.3862000000000001</v>
      </c>
      <c r="L62" s="35">
        <f t="shared" si="10"/>
        <v>1949803900</v>
      </c>
      <c r="M62" s="43">
        <f t="shared" si="11"/>
        <v>1.4873290590915321E-3</v>
      </c>
    </row>
    <row r="63" spans="1:13" x14ac:dyDescent="0.2">
      <c r="A63" s="31" t="s">
        <v>62</v>
      </c>
      <c r="B63" s="32" t="s">
        <v>14</v>
      </c>
      <c r="C63" s="40" t="s">
        <v>106</v>
      </c>
      <c r="D63" s="41">
        <v>0.11</v>
      </c>
      <c r="E63" s="35">
        <v>18599</v>
      </c>
      <c r="F63" s="35">
        <v>1597293</v>
      </c>
      <c r="G63" s="34">
        <f t="shared" si="6"/>
        <v>85.880584977686965</v>
      </c>
      <c r="H63" s="35">
        <v>224000</v>
      </c>
      <c r="I63" s="36">
        <f t="shared" si="7"/>
        <v>1.4023726392089617E-5</v>
      </c>
      <c r="J63" s="37">
        <f t="shared" si="8"/>
        <v>2.6082728716647478E-3</v>
      </c>
      <c r="K63" s="38">
        <f t="shared" si="9"/>
        <v>1.8599000000000001</v>
      </c>
      <c r="L63" s="35">
        <f t="shared" si="10"/>
        <v>159729300</v>
      </c>
      <c r="M63" s="43">
        <f t="shared" si="11"/>
        <v>1.4023726392089616E-3</v>
      </c>
    </row>
    <row r="64" spans="1:13" x14ac:dyDescent="0.2">
      <c r="A64" s="31" t="s">
        <v>110</v>
      </c>
      <c r="B64" s="32" t="s">
        <v>34</v>
      </c>
      <c r="C64" s="32"/>
      <c r="D64" s="41">
        <v>0.28199999999999997</v>
      </c>
      <c r="E64" s="35">
        <v>2703</v>
      </c>
      <c r="F64" s="35">
        <v>3956067</v>
      </c>
      <c r="G64" s="34">
        <f t="shared" si="6"/>
        <v>1463.583795782464</v>
      </c>
      <c r="H64" s="35">
        <v>500000</v>
      </c>
      <c r="I64" s="36">
        <f t="shared" si="7"/>
        <v>1.2638815267789954E-5</v>
      </c>
      <c r="J64" s="37">
        <f t="shared" si="8"/>
        <v>3.4162717668836245E-4</v>
      </c>
      <c r="K64" s="38">
        <f t="shared" si="9"/>
        <v>0.27030000000000004</v>
      </c>
      <c r="L64" s="35">
        <f t="shared" si="10"/>
        <v>395606700</v>
      </c>
      <c r="M64" s="43">
        <f t="shared" si="11"/>
        <v>1.2638815267789953E-3</v>
      </c>
    </row>
    <row r="65" spans="1:13" x14ac:dyDescent="0.2">
      <c r="A65" s="31" t="s">
        <v>55</v>
      </c>
      <c r="B65" s="32" t="s">
        <v>34</v>
      </c>
      <c r="C65" s="40" t="s">
        <v>106</v>
      </c>
      <c r="D65" s="41">
        <v>0.25</v>
      </c>
      <c r="E65" s="35">
        <v>8057</v>
      </c>
      <c r="F65" s="35">
        <v>577010</v>
      </c>
      <c r="G65" s="34">
        <f t="shared" si="6"/>
        <v>71.615986099044306</v>
      </c>
      <c r="H65" s="35">
        <v>60000</v>
      </c>
      <c r="I65" s="36">
        <f t="shared" si="7"/>
        <v>1.0398433302715724E-5</v>
      </c>
      <c r="J65" s="37">
        <f t="shared" si="8"/>
        <v>8.3780177119980594E-4</v>
      </c>
      <c r="K65" s="38">
        <f t="shared" si="9"/>
        <v>0.80570000000000008</v>
      </c>
      <c r="L65" s="35">
        <f t="shared" si="10"/>
        <v>57701000</v>
      </c>
      <c r="M65" s="43">
        <f t="shared" si="11"/>
        <v>1.0398433302715724E-3</v>
      </c>
    </row>
    <row r="66" spans="1:13" x14ac:dyDescent="0.2">
      <c r="A66" s="31" t="s">
        <v>128</v>
      </c>
      <c r="B66" s="32" t="s">
        <v>26</v>
      </c>
      <c r="C66" s="32"/>
      <c r="D66" s="41">
        <v>0.81699999999999995</v>
      </c>
      <c r="E66" s="35">
        <v>19970</v>
      </c>
      <c r="F66" s="35">
        <v>102905</v>
      </c>
      <c r="G66" s="34">
        <f t="shared" si="6"/>
        <v>5.1529794692038058</v>
      </c>
      <c r="H66" s="35">
        <v>10317</v>
      </c>
      <c r="I66" s="36">
        <f t="shared" si="7"/>
        <v>1.002575190709878E-5</v>
      </c>
      <c r="J66" s="37">
        <f t="shared" si="8"/>
        <v>2.0021426558476264E-3</v>
      </c>
      <c r="K66" s="38">
        <f t="shared" si="9"/>
        <v>1.9970000000000001</v>
      </c>
      <c r="L66" s="35">
        <f t="shared" si="10"/>
        <v>10290500</v>
      </c>
      <c r="M66" s="43">
        <f t="shared" si="11"/>
        <v>1.0025751907098779E-3</v>
      </c>
    </row>
    <row r="67" spans="1:13" x14ac:dyDescent="0.2">
      <c r="A67" s="31" t="s">
        <v>127</v>
      </c>
      <c r="B67" s="32" t="s">
        <v>28</v>
      </c>
      <c r="C67" s="32"/>
      <c r="D67" s="41">
        <v>0.621</v>
      </c>
      <c r="E67" s="35">
        <v>27104</v>
      </c>
      <c r="F67" s="35">
        <v>105060</v>
      </c>
      <c r="G67" s="34">
        <f t="shared" si="6"/>
        <v>3.876180637544274</v>
      </c>
      <c r="H67" s="35">
        <v>8806</v>
      </c>
      <c r="I67" s="36">
        <f t="shared" si="7"/>
        <v>8.3818770226537223E-6</v>
      </c>
      <c r="J67" s="37">
        <f t="shared" si="8"/>
        <v>2.2718239482200646E-3</v>
      </c>
      <c r="K67" s="38">
        <f t="shared" si="9"/>
        <v>2.7103999999999999</v>
      </c>
      <c r="L67" s="35">
        <f t="shared" si="10"/>
        <v>10506000</v>
      </c>
      <c r="M67" s="43">
        <f t="shared" si="11"/>
        <v>8.3818770226537216E-4</v>
      </c>
    </row>
    <row r="68" spans="1:13" x14ac:dyDescent="0.2">
      <c r="A68" s="31" t="s">
        <v>52</v>
      </c>
      <c r="B68" s="32" t="s">
        <v>26</v>
      </c>
      <c r="C68" s="40" t="s">
        <v>106</v>
      </c>
      <c r="D68" s="41">
        <v>0.29399999999999998</v>
      </c>
      <c r="E68" s="35">
        <v>13889</v>
      </c>
      <c r="F68" s="35">
        <v>1832641</v>
      </c>
      <c r="G68" s="34">
        <f t="shared" si="6"/>
        <v>131.94909640722875</v>
      </c>
      <c r="H68" s="35">
        <v>139645</v>
      </c>
      <c r="I68" s="36">
        <f t="shared" si="7"/>
        <v>7.6198775428466346E-6</v>
      </c>
      <c r="J68" s="37">
        <f t="shared" si="8"/>
        <v>1.0583247919259691E-3</v>
      </c>
      <c r="K68" s="38">
        <f t="shared" si="9"/>
        <v>1.3889</v>
      </c>
      <c r="L68" s="35">
        <f t="shared" si="10"/>
        <v>183264100</v>
      </c>
      <c r="M68" s="43">
        <f t="shared" si="11"/>
        <v>7.6198775428466348E-4</v>
      </c>
    </row>
    <row r="69" spans="1:13" x14ac:dyDescent="0.2">
      <c r="A69" s="31" t="s">
        <v>50</v>
      </c>
      <c r="B69" s="32" t="s">
        <v>28</v>
      </c>
      <c r="C69" s="40" t="s">
        <v>106</v>
      </c>
      <c r="D69" s="41">
        <v>0.32900000000000001</v>
      </c>
      <c r="E69" s="35">
        <v>25908</v>
      </c>
      <c r="F69" s="35">
        <v>246490</v>
      </c>
      <c r="G69" s="34">
        <f t="shared" si="6"/>
        <v>9.5140497143739395</v>
      </c>
      <c r="H69" s="35">
        <v>17247</v>
      </c>
      <c r="I69" s="36">
        <f t="shared" si="7"/>
        <v>6.997038419408495E-6</v>
      </c>
      <c r="J69" s="37">
        <f t="shared" si="8"/>
        <v>1.8127927137003529E-3</v>
      </c>
      <c r="K69" s="38">
        <f t="shared" si="9"/>
        <v>2.5908000000000002</v>
      </c>
      <c r="L69" s="35">
        <f t="shared" si="10"/>
        <v>24649000</v>
      </c>
      <c r="M69" s="43">
        <f t="shared" si="11"/>
        <v>6.9970384194084948E-4</v>
      </c>
    </row>
    <row r="70" spans="1:13" x14ac:dyDescent="0.2">
      <c r="A70" s="31" t="s">
        <v>175</v>
      </c>
      <c r="B70" s="32" t="s">
        <v>26</v>
      </c>
      <c r="C70" s="32"/>
      <c r="D70" s="41">
        <v>2.4E-2</v>
      </c>
      <c r="E70" s="35">
        <v>3173</v>
      </c>
      <c r="F70" s="35">
        <v>22237</v>
      </c>
      <c r="G70" s="34">
        <f t="shared" ref="G70:G101" si="12">F70*1000000/E70/1000000</f>
        <v>7.0081941380397099</v>
      </c>
      <c r="H70" s="35">
        <v>1500</v>
      </c>
      <c r="I70" s="36">
        <f t="shared" ref="I70:I101" si="13">H70/(F70*1000000)*100</f>
        <v>6.7455142330350319E-6</v>
      </c>
      <c r="J70" s="37">
        <f t="shared" ref="J70:J88" si="14">H70/(G70*1000000)</f>
        <v>2.1403516661420155E-4</v>
      </c>
      <c r="K70" s="38">
        <f t="shared" ref="K70:K88" si="15">E70*0.0001</f>
        <v>0.31730000000000003</v>
      </c>
      <c r="L70" s="35">
        <f t="shared" ref="L70:L88" si="16">F70*1000000*0.0001</f>
        <v>2223700</v>
      </c>
      <c r="M70" s="43">
        <f t="shared" ref="M70:M88" si="17">I70/0.01</f>
        <v>6.7455142330350316E-4</v>
      </c>
    </row>
    <row r="71" spans="1:13" x14ac:dyDescent="0.2">
      <c r="A71" s="31" t="s">
        <v>43</v>
      </c>
      <c r="B71" s="32" t="s">
        <v>26</v>
      </c>
      <c r="C71" s="40" t="s">
        <v>106</v>
      </c>
      <c r="D71" s="41">
        <v>0.57199999999999995</v>
      </c>
      <c r="E71" s="35">
        <v>9684</v>
      </c>
      <c r="F71" s="35">
        <v>334855</v>
      </c>
      <c r="G71" s="34">
        <f t="shared" si="12"/>
        <v>34.578170177612556</v>
      </c>
      <c r="H71" s="35">
        <v>21723</v>
      </c>
      <c r="I71" s="36">
        <f t="shared" si="13"/>
        <v>6.487285541503039E-6</v>
      </c>
      <c r="J71" s="37">
        <f t="shared" si="14"/>
        <v>6.2822873183915426E-4</v>
      </c>
      <c r="K71" s="38">
        <f t="shared" si="15"/>
        <v>0.96840000000000004</v>
      </c>
      <c r="L71" s="35">
        <f t="shared" si="16"/>
        <v>33485500</v>
      </c>
      <c r="M71" s="43">
        <f t="shared" si="17"/>
        <v>6.4872855415030388E-4</v>
      </c>
    </row>
    <row r="72" spans="1:13" x14ac:dyDescent="0.2">
      <c r="A72" s="31" t="s">
        <v>49</v>
      </c>
      <c r="B72" s="32" t="s">
        <v>34</v>
      </c>
      <c r="C72" s="40" t="s">
        <v>106</v>
      </c>
      <c r="D72" s="41">
        <v>0.33800000000000002</v>
      </c>
      <c r="E72" s="35">
        <v>13125</v>
      </c>
      <c r="F72" s="35">
        <v>472193</v>
      </c>
      <c r="G72" s="34">
        <f t="shared" si="12"/>
        <v>35.976609523809522</v>
      </c>
      <c r="H72" s="35">
        <v>30000</v>
      </c>
      <c r="I72" s="36">
        <f t="shared" si="13"/>
        <v>6.3533343357483057E-6</v>
      </c>
      <c r="J72" s="37">
        <f t="shared" si="14"/>
        <v>8.338751315669652E-4</v>
      </c>
      <c r="K72" s="38">
        <f t="shared" si="15"/>
        <v>1.3125</v>
      </c>
      <c r="L72" s="35">
        <f t="shared" si="16"/>
        <v>47219300</v>
      </c>
      <c r="M72" s="43">
        <f t="shared" si="17"/>
        <v>6.3533343357483052E-4</v>
      </c>
    </row>
    <row r="73" spans="1:13" x14ac:dyDescent="0.2">
      <c r="A73" s="31" t="s">
        <v>114</v>
      </c>
      <c r="B73" s="32" t="s">
        <v>34</v>
      </c>
      <c r="C73" s="32"/>
      <c r="D73" s="41">
        <v>0.21</v>
      </c>
      <c r="E73" s="35">
        <v>1596</v>
      </c>
      <c r="F73" s="35">
        <v>407307</v>
      </c>
      <c r="G73" s="34">
        <f t="shared" si="12"/>
        <v>255.20488721804512</v>
      </c>
      <c r="H73" s="35">
        <v>25797</v>
      </c>
      <c r="I73" s="36">
        <f t="shared" si="13"/>
        <v>6.3335518417311765E-6</v>
      </c>
      <c r="J73" s="37">
        <f t="shared" si="14"/>
        <v>1.0108348739402956E-4</v>
      </c>
      <c r="K73" s="38">
        <f t="shared" si="15"/>
        <v>0.15960000000000002</v>
      </c>
      <c r="L73" s="35">
        <f t="shared" si="16"/>
        <v>40730700</v>
      </c>
      <c r="M73" s="43">
        <f t="shared" si="17"/>
        <v>6.3335518417311767E-4</v>
      </c>
    </row>
    <row r="74" spans="1:13" x14ac:dyDescent="0.2">
      <c r="A74" s="31" t="s">
        <v>176</v>
      </c>
      <c r="B74" s="32" t="s">
        <v>34</v>
      </c>
      <c r="C74" s="32"/>
      <c r="D74" s="41">
        <v>3.9E-2</v>
      </c>
      <c r="E74" s="35">
        <v>1637</v>
      </c>
      <c r="F74" s="35">
        <v>17661</v>
      </c>
      <c r="G74" s="34">
        <f t="shared" si="12"/>
        <v>10.788637751985339</v>
      </c>
      <c r="H74" s="35">
        <v>980</v>
      </c>
      <c r="I74" s="36">
        <f t="shared" si="13"/>
        <v>5.5489496630994846E-6</v>
      </c>
      <c r="J74" s="37">
        <f t="shared" si="14"/>
        <v>9.0836305984938568E-5</v>
      </c>
      <c r="K74" s="38">
        <f t="shared" si="15"/>
        <v>0.16370000000000001</v>
      </c>
      <c r="L74" s="35">
        <f t="shared" si="16"/>
        <v>1766100</v>
      </c>
      <c r="M74" s="43">
        <f t="shared" si="17"/>
        <v>5.548949663099484E-4</v>
      </c>
    </row>
    <row r="75" spans="1:13" x14ac:dyDescent="0.2">
      <c r="A75" s="31" t="s">
        <v>177</v>
      </c>
      <c r="B75" s="32" t="s">
        <v>34</v>
      </c>
      <c r="C75" s="32"/>
      <c r="D75" s="41">
        <v>0.21099999999999999</v>
      </c>
      <c r="E75" s="35">
        <v>3081</v>
      </c>
      <c r="F75" s="35">
        <v>22624</v>
      </c>
      <c r="G75" s="34">
        <f t="shared" si="12"/>
        <v>7.3430704316780266</v>
      </c>
      <c r="H75" s="35">
        <v>982</v>
      </c>
      <c r="I75" s="36">
        <f t="shared" si="13"/>
        <v>4.3405233380480902E-6</v>
      </c>
      <c r="J75" s="37">
        <f t="shared" si="14"/>
        <v>1.3373152404526166E-4</v>
      </c>
      <c r="K75" s="38">
        <f t="shared" si="15"/>
        <v>0.30810000000000004</v>
      </c>
      <c r="L75" s="35">
        <f t="shared" si="16"/>
        <v>2262400</v>
      </c>
      <c r="M75" s="43">
        <f t="shared" si="17"/>
        <v>4.3405233380480903E-4</v>
      </c>
    </row>
    <row r="76" spans="1:13" x14ac:dyDescent="0.2">
      <c r="A76" s="31" t="s">
        <v>178</v>
      </c>
      <c r="B76" s="32" t="s">
        <v>26</v>
      </c>
      <c r="C76" s="32"/>
      <c r="D76" s="41">
        <v>0.40899999999999997</v>
      </c>
      <c r="E76" s="35">
        <v>7027</v>
      </c>
      <c r="F76" s="35">
        <v>49278</v>
      </c>
      <c r="G76" s="34">
        <f t="shared" si="12"/>
        <v>7.0126654333285892</v>
      </c>
      <c r="H76" s="35">
        <v>2000</v>
      </c>
      <c r="I76" s="36">
        <f t="shared" si="13"/>
        <v>4.0586062746053008E-6</v>
      </c>
      <c r="J76" s="37">
        <f t="shared" si="14"/>
        <v>2.8519826291651448E-4</v>
      </c>
      <c r="K76" s="38">
        <f t="shared" si="15"/>
        <v>0.70269999999999999</v>
      </c>
      <c r="L76" s="35">
        <f t="shared" si="16"/>
        <v>4927800</v>
      </c>
      <c r="M76" s="43">
        <f t="shared" si="17"/>
        <v>4.0586062746053006E-4</v>
      </c>
    </row>
    <row r="77" spans="1:13" x14ac:dyDescent="0.2">
      <c r="A77" s="31" t="s">
        <v>25</v>
      </c>
      <c r="B77" s="32" t="s">
        <v>26</v>
      </c>
      <c r="C77" s="40" t="s">
        <v>106</v>
      </c>
      <c r="D77" s="41">
        <v>0.78</v>
      </c>
      <c r="E77" s="35">
        <v>17995</v>
      </c>
      <c r="F77" s="35">
        <v>357371</v>
      </c>
      <c r="G77" s="34">
        <f t="shared" si="12"/>
        <v>19.859460961378161</v>
      </c>
      <c r="H77" s="35">
        <v>14500</v>
      </c>
      <c r="I77" s="36">
        <f t="shared" si="13"/>
        <v>4.0574081276880328E-6</v>
      </c>
      <c r="J77" s="37">
        <f t="shared" si="14"/>
        <v>7.3013059257746155E-4</v>
      </c>
      <c r="K77" s="38">
        <f t="shared" si="15"/>
        <v>1.7995000000000001</v>
      </c>
      <c r="L77" s="35">
        <f t="shared" si="16"/>
        <v>35737100</v>
      </c>
      <c r="M77" s="43">
        <f t="shared" si="17"/>
        <v>4.057408127688033E-4</v>
      </c>
    </row>
    <row r="78" spans="1:13" x14ac:dyDescent="0.2">
      <c r="A78" s="31" t="s">
        <v>179</v>
      </c>
      <c r="B78" s="32" t="s">
        <v>34</v>
      </c>
      <c r="C78" s="32"/>
      <c r="D78" s="41">
        <v>5.3999999999999999E-2</v>
      </c>
      <c r="E78" s="35">
        <v>2872</v>
      </c>
      <c r="F78" s="35">
        <v>51267</v>
      </c>
      <c r="G78" s="34">
        <f t="shared" si="12"/>
        <v>17.850626740947074</v>
      </c>
      <c r="H78" s="35">
        <v>2000</v>
      </c>
      <c r="I78" s="36">
        <f t="shared" si="13"/>
        <v>3.9011449860534073E-6</v>
      </c>
      <c r="J78" s="37">
        <f t="shared" si="14"/>
        <v>1.1204088399945384E-4</v>
      </c>
      <c r="K78" s="38">
        <f t="shared" si="15"/>
        <v>0.28720000000000001</v>
      </c>
      <c r="L78" s="35">
        <f t="shared" si="16"/>
        <v>5126700</v>
      </c>
      <c r="M78" s="43">
        <f t="shared" si="17"/>
        <v>3.9011449860534072E-4</v>
      </c>
    </row>
    <row r="79" spans="1:13" x14ac:dyDescent="0.2">
      <c r="A79" s="31" t="s">
        <v>180</v>
      </c>
      <c r="B79" s="32" t="s">
        <v>28</v>
      </c>
      <c r="C79" s="32"/>
      <c r="D79" s="41">
        <v>0.33700000000000002</v>
      </c>
      <c r="E79" s="35">
        <v>10382</v>
      </c>
      <c r="F79" s="35">
        <v>32600</v>
      </c>
      <c r="G79" s="34">
        <f t="shared" si="12"/>
        <v>3.1400500866884995</v>
      </c>
      <c r="H79" s="35">
        <v>1000</v>
      </c>
      <c r="I79" s="36">
        <f t="shared" si="13"/>
        <v>3.067484662576687E-6</v>
      </c>
      <c r="J79" s="37">
        <f t="shared" si="14"/>
        <v>3.1846625766871167E-4</v>
      </c>
      <c r="K79" s="38">
        <f t="shared" si="15"/>
        <v>1.0382</v>
      </c>
      <c r="L79" s="35">
        <f t="shared" si="16"/>
        <v>3260000</v>
      </c>
      <c r="M79" s="43">
        <f t="shared" si="17"/>
        <v>3.0674846625766868E-4</v>
      </c>
    </row>
    <row r="80" spans="1:13" x14ac:dyDescent="0.2">
      <c r="A80" s="31" t="s">
        <v>181</v>
      </c>
      <c r="B80" s="32" t="s">
        <v>26</v>
      </c>
      <c r="C80" s="32"/>
      <c r="D80" s="32" t="s">
        <v>156</v>
      </c>
      <c r="E80" s="33">
        <v>39455</v>
      </c>
      <c r="F80" s="33">
        <v>15833</v>
      </c>
      <c r="G80" s="34">
        <f t="shared" si="12"/>
        <v>0.40129261183626913</v>
      </c>
      <c r="H80" s="35">
        <v>453</v>
      </c>
      <c r="I80" s="36">
        <f t="shared" si="13"/>
        <v>2.8611128655340111E-6</v>
      </c>
      <c r="J80" s="37">
        <f t="shared" si="14"/>
        <v>1.1288520810964441E-3</v>
      </c>
      <c r="K80" s="38">
        <f t="shared" si="15"/>
        <v>3.9455</v>
      </c>
      <c r="L80" s="35">
        <f t="shared" si="16"/>
        <v>1583300</v>
      </c>
      <c r="M80" s="43">
        <f t="shared" si="17"/>
        <v>2.861112865534011E-4</v>
      </c>
    </row>
    <row r="81" spans="1:13" x14ac:dyDescent="0.2">
      <c r="A81" s="31" t="s">
        <v>47</v>
      </c>
      <c r="B81" s="32" t="s">
        <v>34</v>
      </c>
      <c r="C81" s="40" t="s">
        <v>106</v>
      </c>
      <c r="D81" s="41">
        <v>0.35299999999999998</v>
      </c>
      <c r="E81" s="35">
        <v>5060</v>
      </c>
      <c r="F81" s="35">
        <v>1445643</v>
      </c>
      <c r="G81" s="34">
        <f t="shared" si="12"/>
        <v>285.70019762845851</v>
      </c>
      <c r="H81" s="35">
        <v>40000</v>
      </c>
      <c r="I81" s="36">
        <f t="shared" si="13"/>
        <v>2.7669348518271798E-6</v>
      </c>
      <c r="J81" s="37">
        <f t="shared" si="14"/>
        <v>1.4000690350245531E-4</v>
      </c>
      <c r="K81" s="38">
        <f t="shared" si="15"/>
        <v>0.50600000000000001</v>
      </c>
      <c r="L81" s="35">
        <f t="shared" si="16"/>
        <v>144564300</v>
      </c>
      <c r="M81" s="43">
        <f t="shared" si="17"/>
        <v>2.7669348518271795E-4</v>
      </c>
    </row>
    <row r="82" spans="1:13" x14ac:dyDescent="0.2">
      <c r="A82" s="31" t="s">
        <v>48</v>
      </c>
      <c r="B82" s="32" t="s">
        <v>34</v>
      </c>
      <c r="C82" s="40" t="s">
        <v>106</v>
      </c>
      <c r="D82" s="41">
        <v>0.34</v>
      </c>
      <c r="E82" s="35">
        <v>98814</v>
      </c>
      <c r="F82" s="35">
        <v>603870</v>
      </c>
      <c r="G82" s="34">
        <f t="shared" si="12"/>
        <v>6.1111785779343002</v>
      </c>
      <c r="H82" s="35">
        <v>15000</v>
      </c>
      <c r="I82" s="36">
        <f t="shared" si="13"/>
        <v>2.4839783397088778E-6</v>
      </c>
      <c r="J82" s="37">
        <f t="shared" si="14"/>
        <v>2.4545183565999307E-3</v>
      </c>
      <c r="K82" s="38">
        <f t="shared" si="15"/>
        <v>9.8814000000000011</v>
      </c>
      <c r="L82" s="35">
        <f t="shared" si="16"/>
        <v>60387000</v>
      </c>
      <c r="M82" s="43">
        <f t="shared" si="17"/>
        <v>2.4839783397088776E-4</v>
      </c>
    </row>
    <row r="83" spans="1:13" x14ac:dyDescent="0.2">
      <c r="A83" s="31" t="s">
        <v>45</v>
      </c>
      <c r="B83" s="32" t="s">
        <v>28</v>
      </c>
      <c r="C83" s="40" t="s">
        <v>106</v>
      </c>
      <c r="D83" s="41">
        <v>0.51400000000000001</v>
      </c>
      <c r="E83" s="35">
        <v>22538</v>
      </c>
      <c r="F83" s="35">
        <v>428678</v>
      </c>
      <c r="G83" s="34">
        <f t="shared" si="12"/>
        <v>19.020232496228591</v>
      </c>
      <c r="H83" s="35">
        <v>9913</v>
      </c>
      <c r="I83" s="36">
        <f t="shared" si="13"/>
        <v>2.3124583020355606E-6</v>
      </c>
      <c r="J83" s="37">
        <f t="shared" si="14"/>
        <v>5.2118185211277466E-4</v>
      </c>
      <c r="K83" s="38">
        <f t="shared" si="15"/>
        <v>2.2538</v>
      </c>
      <c r="L83" s="35">
        <f t="shared" si="16"/>
        <v>42867800</v>
      </c>
      <c r="M83" s="43">
        <f t="shared" si="17"/>
        <v>2.3124583020355606E-4</v>
      </c>
    </row>
    <row r="84" spans="1:13" x14ac:dyDescent="0.2">
      <c r="A84" s="31" t="s">
        <v>61</v>
      </c>
      <c r="B84" s="32" t="s">
        <v>40</v>
      </c>
      <c r="C84" s="40" t="s">
        <v>106</v>
      </c>
      <c r="D84" s="41">
        <v>0.12</v>
      </c>
      <c r="E84" s="35">
        <v>3086</v>
      </c>
      <c r="F84" s="35">
        <v>365255</v>
      </c>
      <c r="G84" s="34">
        <f t="shared" si="12"/>
        <v>118.35871678548283</v>
      </c>
      <c r="H84" s="35">
        <v>6000</v>
      </c>
      <c r="I84" s="36">
        <f t="shared" si="13"/>
        <v>1.6426879851062955E-6</v>
      </c>
      <c r="J84" s="37">
        <f t="shared" si="14"/>
        <v>5.0693351220380284E-5</v>
      </c>
      <c r="K84" s="38">
        <f t="shared" si="15"/>
        <v>0.30860000000000004</v>
      </c>
      <c r="L84" s="35">
        <f t="shared" si="16"/>
        <v>36525500</v>
      </c>
      <c r="M84" s="43">
        <f t="shared" si="17"/>
        <v>1.6426879851062955E-4</v>
      </c>
    </row>
    <row r="85" spans="1:13" x14ac:dyDescent="0.2">
      <c r="A85" s="31" t="s">
        <v>182</v>
      </c>
      <c r="B85" s="32" t="s">
        <v>40</v>
      </c>
      <c r="C85" s="32"/>
      <c r="D85" s="41">
        <v>0.30299999999999999</v>
      </c>
      <c r="E85" s="35">
        <v>1658</v>
      </c>
      <c r="F85" s="35">
        <v>24566</v>
      </c>
      <c r="G85" s="34">
        <f t="shared" si="12"/>
        <v>14.81664656212304</v>
      </c>
      <c r="H85" s="35">
        <v>200</v>
      </c>
      <c r="I85" s="36">
        <f t="shared" si="13"/>
        <v>8.1413335504355617E-7</v>
      </c>
      <c r="J85" s="37">
        <f t="shared" si="14"/>
        <v>1.3498331026622161E-5</v>
      </c>
      <c r="K85" s="38">
        <f t="shared" si="15"/>
        <v>0.1658</v>
      </c>
      <c r="L85" s="35">
        <f t="shared" si="16"/>
        <v>2456600</v>
      </c>
      <c r="M85" s="43">
        <f t="shared" si="17"/>
        <v>8.1413335504355622E-5</v>
      </c>
    </row>
    <row r="86" spans="1:13" x14ac:dyDescent="0.2">
      <c r="A86" s="31" t="s">
        <v>64</v>
      </c>
      <c r="B86" s="32" t="s">
        <v>34</v>
      </c>
      <c r="C86" s="40" t="s">
        <v>106</v>
      </c>
      <c r="D86" s="41">
        <v>9.8000000000000004E-2</v>
      </c>
      <c r="E86" s="35">
        <v>2597</v>
      </c>
      <c r="F86" s="35">
        <v>456319</v>
      </c>
      <c r="G86" s="34">
        <f t="shared" si="12"/>
        <v>175.71005005775896</v>
      </c>
      <c r="H86" s="35">
        <v>2000</v>
      </c>
      <c r="I86" s="36">
        <f t="shared" si="13"/>
        <v>4.3828988054409302E-7</v>
      </c>
      <c r="J86" s="37">
        <f t="shared" si="14"/>
        <v>1.1382388197730096E-5</v>
      </c>
      <c r="K86" s="38">
        <f t="shared" si="15"/>
        <v>0.25969999999999999</v>
      </c>
      <c r="L86" s="35">
        <f t="shared" si="16"/>
        <v>45631900</v>
      </c>
      <c r="M86" s="43">
        <f t="shared" si="17"/>
        <v>4.3828988054409301E-5</v>
      </c>
    </row>
    <row r="87" spans="1:13" x14ac:dyDescent="0.2">
      <c r="A87" s="31" t="s">
        <v>126</v>
      </c>
      <c r="B87" s="32" t="s">
        <v>26</v>
      </c>
      <c r="C87" s="32"/>
      <c r="D87" s="41">
        <v>5.6000000000000001E-2</v>
      </c>
      <c r="E87" s="33">
        <v>9605</v>
      </c>
      <c r="F87" s="33">
        <v>107352</v>
      </c>
      <c r="G87" s="34">
        <f t="shared" si="12"/>
        <v>11.176678813118167</v>
      </c>
      <c r="H87" s="35">
        <v>400</v>
      </c>
      <c r="I87" s="36">
        <f t="shared" si="13"/>
        <v>3.7260600640882333E-7</v>
      </c>
      <c r="J87" s="37">
        <f t="shared" si="14"/>
        <v>3.5788806915567482E-5</v>
      </c>
      <c r="K87" s="38">
        <f t="shared" si="15"/>
        <v>0.96050000000000002</v>
      </c>
      <c r="L87" s="35">
        <f t="shared" si="16"/>
        <v>10735200</v>
      </c>
      <c r="M87" s="43">
        <f t="shared" si="17"/>
        <v>3.7260600640882333E-5</v>
      </c>
    </row>
    <row r="88" spans="1:13" x14ac:dyDescent="0.2">
      <c r="A88" s="31" t="s">
        <v>38</v>
      </c>
      <c r="B88" s="32" t="s">
        <v>26</v>
      </c>
      <c r="C88" s="40" t="s">
        <v>106</v>
      </c>
      <c r="D88" s="41">
        <v>0.63600000000000001</v>
      </c>
      <c r="E88" s="35">
        <v>10713</v>
      </c>
      <c r="F88" s="35">
        <v>2279920</v>
      </c>
      <c r="G88" s="34">
        <f t="shared" si="12"/>
        <v>212.81807150191358</v>
      </c>
      <c r="H88" s="35">
        <v>5956</v>
      </c>
      <c r="I88" s="36">
        <f t="shared" si="13"/>
        <v>2.6123723639425943E-7</v>
      </c>
      <c r="J88" s="37">
        <f t="shared" si="14"/>
        <v>2.7986345134917014E-5</v>
      </c>
      <c r="K88" s="38">
        <f t="shared" si="15"/>
        <v>1.0713000000000001</v>
      </c>
      <c r="L88" s="35">
        <f t="shared" si="16"/>
        <v>227992000</v>
      </c>
      <c r="M88" s="43">
        <f t="shared" si="17"/>
        <v>2.6123723639425943E-5</v>
      </c>
    </row>
    <row r="90" spans="1:13" x14ac:dyDescent="0.2">
      <c r="A90" s="44" t="s">
        <v>183</v>
      </c>
      <c r="H90" s="45">
        <f>SUM(H6:H88)</f>
        <v>204877331</v>
      </c>
      <c r="L90" s="45">
        <f>SUM(L6:L88)</f>
        <v>10953254300</v>
      </c>
      <c r="M90" s="46">
        <f>H90/L90</f>
        <v>1.8704699570428123E-2</v>
      </c>
    </row>
    <row r="92" spans="1:13" x14ac:dyDescent="0.2">
      <c r="A92" s="2" t="s">
        <v>85</v>
      </c>
      <c r="B92" s="2"/>
      <c r="C92" s="2"/>
      <c r="D92" s="2"/>
      <c r="E92" s="2"/>
      <c r="F92" s="2"/>
      <c r="G92" s="2"/>
      <c r="H92" s="2"/>
      <c r="I92" s="2"/>
      <c r="J92" s="2"/>
      <c r="K92" s="2"/>
      <c r="L92" s="2"/>
      <c r="M92" s="2"/>
    </row>
    <row r="93" spans="1:13" x14ac:dyDescent="0.2">
      <c r="A93" s="1" t="s">
        <v>184</v>
      </c>
      <c r="B93" s="1"/>
      <c r="C93" s="1"/>
      <c r="D93" s="1"/>
      <c r="E93" s="1"/>
      <c r="F93" s="1"/>
      <c r="G93" s="1"/>
      <c r="H93" s="1"/>
      <c r="I93" s="1"/>
      <c r="J93" s="1"/>
      <c r="K93" s="1"/>
      <c r="L93" s="1"/>
      <c r="M93" s="1"/>
    </row>
    <row r="94" spans="1:13" x14ac:dyDescent="0.2">
      <c r="A94" s="1" t="s">
        <v>185</v>
      </c>
      <c r="B94" s="1"/>
      <c r="C94" s="1"/>
      <c r="D94" s="1"/>
      <c r="E94" s="1"/>
      <c r="F94" s="1"/>
      <c r="G94" s="1"/>
      <c r="H94" s="1"/>
      <c r="I94" s="1"/>
      <c r="J94" s="1"/>
      <c r="K94" s="1"/>
      <c r="L94" s="1"/>
      <c r="M94" s="1"/>
    </row>
    <row r="95" spans="1:13" x14ac:dyDescent="0.2">
      <c r="A95" s="1" t="s">
        <v>186</v>
      </c>
      <c r="B95" s="1"/>
      <c r="C95" s="1"/>
      <c r="D95" s="1"/>
      <c r="E95" s="1"/>
      <c r="F95" s="1"/>
      <c r="G95" s="1"/>
      <c r="H95" s="1"/>
      <c r="I95" s="1"/>
      <c r="J95" s="1"/>
      <c r="K95" s="1"/>
      <c r="L95" s="1"/>
      <c r="M95" s="1"/>
    </row>
    <row r="96" spans="1:13" x14ac:dyDescent="0.2">
      <c r="A96" s="1" t="s">
        <v>187</v>
      </c>
      <c r="B96" s="1"/>
      <c r="C96" s="1"/>
      <c r="D96" s="1"/>
      <c r="E96" s="1"/>
      <c r="F96" s="1"/>
      <c r="G96" s="1"/>
      <c r="H96" s="1"/>
      <c r="I96" s="1"/>
      <c r="J96" s="1"/>
      <c r="K96" s="1"/>
      <c r="L96" s="1"/>
      <c r="M96" s="1"/>
    </row>
    <row r="97" spans="1:13" x14ac:dyDescent="0.2">
      <c r="A97" s="1" t="s">
        <v>188</v>
      </c>
      <c r="B97" s="1"/>
      <c r="C97" s="1"/>
      <c r="D97" s="1"/>
      <c r="E97" s="1"/>
      <c r="F97" s="1"/>
      <c r="G97" s="1"/>
      <c r="H97" s="1"/>
      <c r="I97" s="1"/>
      <c r="J97" s="1"/>
      <c r="K97" s="1"/>
      <c r="L97" s="1"/>
      <c r="M97" s="1"/>
    </row>
    <row r="98" spans="1:13" x14ac:dyDescent="0.2">
      <c r="A98" s="1" t="s">
        <v>189</v>
      </c>
      <c r="B98" s="1"/>
      <c r="C98" s="1"/>
      <c r="D98" s="1"/>
      <c r="E98" s="1"/>
      <c r="F98" s="1"/>
      <c r="G98" s="1"/>
      <c r="H98" s="1"/>
      <c r="I98" s="1"/>
      <c r="J98" s="1"/>
      <c r="K98" s="1"/>
      <c r="L98" s="1"/>
      <c r="M98" s="1"/>
    </row>
    <row r="99" spans="1:13" x14ac:dyDescent="0.2">
      <c r="A99" s="1" t="s">
        <v>190</v>
      </c>
      <c r="B99" s="1"/>
      <c r="C99" s="1"/>
      <c r="D99" s="1"/>
      <c r="E99" s="1"/>
      <c r="F99" s="1"/>
      <c r="G99" s="1"/>
      <c r="H99" s="1"/>
      <c r="I99" s="1"/>
      <c r="J99" s="1"/>
      <c r="K99" s="1"/>
      <c r="L99" s="1"/>
      <c r="M99" s="1"/>
    </row>
    <row r="100" spans="1:13" ht="24" customHeight="1" x14ac:dyDescent="0.2">
      <c r="A100" s="5" t="s">
        <v>191</v>
      </c>
      <c r="B100" s="5"/>
      <c r="C100" s="5"/>
      <c r="D100" s="5"/>
      <c r="E100" s="5"/>
      <c r="F100" s="5"/>
      <c r="G100" s="5"/>
      <c r="H100" s="5"/>
      <c r="I100" s="5"/>
      <c r="J100" s="5"/>
      <c r="K100" s="5"/>
      <c r="L100" s="5"/>
      <c r="M100" s="5"/>
    </row>
  </sheetData>
  <autoFilter ref="A5:M88" xr:uid="{00000000-0009-0000-0000-000003000000}">
    <sortState xmlns:xlrd2="http://schemas.microsoft.com/office/spreadsheetml/2017/richdata2" ref="A6:M88">
      <sortCondition descending="1" ref="E6:E88"/>
    </sortState>
  </autoFilter>
  <mergeCells count="12">
    <mergeCell ref="A99:M99"/>
    <mergeCell ref="A100:M100"/>
    <mergeCell ref="A94:M94"/>
    <mergeCell ref="A95:M95"/>
    <mergeCell ref="A96:M96"/>
    <mergeCell ref="A97:M97"/>
    <mergeCell ref="A98:M98"/>
    <mergeCell ref="A1:M1"/>
    <mergeCell ref="A2:M2"/>
    <mergeCell ref="A3:M3"/>
    <mergeCell ref="A92:M92"/>
    <mergeCell ref="A93:M93"/>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Intermediate powers</vt:lpstr>
      <vt:lpstr>Selection</vt:lpstr>
      <vt:lpstr>0.01 per cent pledge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Florian Irminger (Progress &amp; Change)</cp:lastModifiedBy>
  <cp:revision>0</cp:revision>
  <dcterms:created xsi:type="dcterms:W3CDTF">2026-09-06T18:48:01Z</dcterms:created>
  <dcterms:modified xsi:type="dcterms:W3CDTF">2026-10-05T13:01:19Z</dcterms:modified>
  <dc:language>en-US</dc:language>
</cp:coreProperties>
</file>